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6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joecarballosa/Desktop/MND/Modern Concept Rugs/Kalaty/Price Lists and Collection Name Directory/MCR Price Lists/"/>
    </mc:Choice>
  </mc:AlternateContent>
  <xr:revisionPtr revIDLastSave="0" documentId="13_ncr:1_{D96B1E12-7965-C84D-9A9D-FE998599B062}" xr6:coauthVersionLast="47" xr6:coauthVersionMax="47" xr10:uidLastSave="{00000000-0000-0000-0000-000000000000}"/>
  <bookViews>
    <workbookView xWindow="7280" yWindow="500" windowWidth="38720" windowHeight="33340" tabRatio="500" xr2:uid="{00000000-000D-0000-FFFF-FFFF00000000}"/>
  </bookViews>
  <sheets>
    <sheet name="Sheet1" sheetId="1" r:id="rId1"/>
  </sheets>
  <definedNames>
    <definedName name="_xlnm.Print_Area" localSheetId="0">Sheet1!$A$1:$W$79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75" i="1" l="1"/>
  <c r="V43" i="1"/>
  <c r="V40" i="1"/>
  <c r="U43" i="1"/>
  <c r="U42" i="1"/>
  <c r="U40" i="1"/>
  <c r="T43" i="1"/>
  <c r="T40" i="1"/>
  <c r="T38" i="1"/>
  <c r="S43" i="1"/>
  <c r="S40" i="1"/>
  <c r="R50" i="1"/>
  <c r="R43" i="1"/>
  <c r="R42" i="1"/>
  <c r="R40" i="1"/>
  <c r="R37" i="1"/>
  <c r="R32" i="1"/>
  <c r="R31" i="1"/>
  <c r="Q43" i="1"/>
  <c r="Q40" i="1"/>
  <c r="P43" i="1"/>
  <c r="P40" i="1"/>
  <c r="O43" i="1"/>
  <c r="O40" i="1"/>
  <c r="N43" i="1"/>
  <c r="N41" i="1"/>
  <c r="N40" i="1"/>
  <c r="N38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3" i="1"/>
  <c r="M32" i="1"/>
  <c r="M31" i="1"/>
  <c r="M30" i="1"/>
  <c r="M28" i="1"/>
  <c r="L43" i="1"/>
  <c r="L41" i="1"/>
  <c r="L40" i="1"/>
  <c r="L38" i="1"/>
  <c r="L28" i="1"/>
  <c r="K43" i="1"/>
  <c r="K40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I48" i="1"/>
  <c r="I47" i="1"/>
  <c r="I46" i="1"/>
  <c r="I45" i="1"/>
  <c r="I44" i="1"/>
  <c r="I43" i="1"/>
  <c r="I42" i="1"/>
  <c r="I41" i="1"/>
  <c r="I40" i="1"/>
  <c r="I39" i="1"/>
  <c r="I37" i="1"/>
  <c r="I36" i="1"/>
  <c r="I34" i="1"/>
  <c r="I33" i="1"/>
  <c r="I32" i="1"/>
  <c r="I31" i="1"/>
  <c r="I30" i="1"/>
  <c r="H48" i="1"/>
  <c r="H47" i="1"/>
  <c r="H46" i="1"/>
  <c r="H45" i="1"/>
  <c r="H44" i="1"/>
  <c r="H43" i="1"/>
  <c r="H42" i="1"/>
  <c r="H41" i="1"/>
  <c r="H40" i="1"/>
  <c r="H39" i="1"/>
  <c r="H37" i="1"/>
  <c r="H36" i="1"/>
  <c r="H33" i="1"/>
  <c r="H32" i="1"/>
  <c r="H31" i="1"/>
  <c r="H30" i="1"/>
  <c r="G48" i="1"/>
  <c r="G47" i="1"/>
  <c r="G46" i="1"/>
  <c r="G45" i="1"/>
  <c r="G44" i="1"/>
  <c r="G43" i="1"/>
  <c r="G42" i="1"/>
  <c r="G41" i="1"/>
  <c r="G40" i="1"/>
  <c r="G39" i="1"/>
  <c r="G37" i="1"/>
  <c r="G36" i="1"/>
  <c r="G33" i="1"/>
  <c r="G32" i="1"/>
  <c r="G31" i="1"/>
  <c r="G30" i="1"/>
  <c r="F48" i="1"/>
  <c r="F47" i="1"/>
  <c r="F46" i="1"/>
  <c r="F45" i="1"/>
  <c r="F44" i="1"/>
  <c r="F43" i="1"/>
  <c r="F42" i="1"/>
  <c r="F41" i="1"/>
  <c r="F40" i="1"/>
  <c r="F39" i="1"/>
  <c r="F37" i="1"/>
  <c r="F36" i="1"/>
  <c r="F33" i="1"/>
  <c r="F32" i="1"/>
  <c r="F31" i="1"/>
  <c r="F30" i="1"/>
  <c r="E50" i="1"/>
  <c r="E42" i="1"/>
  <c r="E30" i="1"/>
  <c r="D48" i="1"/>
  <c r="D47" i="1"/>
  <c r="D46" i="1"/>
  <c r="D45" i="1"/>
  <c r="D44" i="1"/>
  <c r="D43" i="1"/>
  <c r="D42" i="1"/>
  <c r="D41" i="1"/>
  <c r="D40" i="1"/>
  <c r="D39" i="1"/>
  <c r="D37" i="1"/>
  <c r="D36" i="1"/>
  <c r="D33" i="1"/>
  <c r="D32" i="1"/>
  <c r="D31" i="1"/>
  <c r="D30" i="1"/>
  <c r="C48" i="1"/>
  <c r="C47" i="1"/>
  <c r="C46" i="1"/>
  <c r="C45" i="1"/>
  <c r="C44" i="1"/>
  <c r="C43" i="1"/>
  <c r="C42" i="1"/>
  <c r="C41" i="1"/>
  <c r="C40" i="1"/>
  <c r="C39" i="1"/>
  <c r="C37" i="1"/>
  <c r="C36" i="1"/>
  <c r="C33" i="1"/>
  <c r="C32" i="1"/>
  <c r="C31" i="1"/>
  <c r="C30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R23" i="1"/>
  <c r="R18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J25" i="1"/>
  <c r="J24" i="1"/>
  <c r="J23" i="1"/>
  <c r="J21" i="1"/>
  <c r="J20" i="1"/>
  <c r="J19" i="1"/>
  <c r="J18" i="1"/>
  <c r="J17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I25" i="1"/>
  <c r="I24" i="1"/>
  <c r="I21" i="1"/>
  <c r="I20" i="1"/>
  <c r="I19" i="1"/>
  <c r="I18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H25" i="1"/>
  <c r="H24" i="1"/>
  <c r="H21" i="1"/>
  <c r="H20" i="1"/>
  <c r="H19" i="1"/>
  <c r="H18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G25" i="1"/>
  <c r="G24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F25" i="1"/>
  <c r="F24" i="1"/>
  <c r="F21" i="1"/>
  <c r="F20" i="1"/>
  <c r="F19" i="1"/>
  <c r="F18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E23" i="1"/>
  <c r="E19" i="1"/>
  <c r="E18" i="1"/>
  <c r="E7" i="1"/>
  <c r="D25" i="1"/>
  <c r="D24" i="1"/>
  <c r="D21" i="1"/>
  <c r="D20" i="1"/>
  <c r="D19" i="1"/>
  <c r="D18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C25" i="1"/>
  <c r="C24" i="1"/>
  <c r="C21" i="1"/>
  <c r="C20" i="1"/>
  <c r="C19" i="1"/>
  <c r="C18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Q78" i="1"/>
  <c r="O78" i="1"/>
  <c r="M78" i="1"/>
  <c r="F78" i="1"/>
  <c r="D78" i="1"/>
  <c r="B78" i="1"/>
  <c r="S77" i="1"/>
  <c r="O77" i="1"/>
  <c r="M77" i="1"/>
  <c r="D77" i="1"/>
  <c r="B77" i="1"/>
  <c r="Q76" i="1"/>
  <c r="O76" i="1"/>
  <c r="M76" i="1"/>
  <c r="F76" i="1"/>
  <c r="D76" i="1"/>
  <c r="B76" i="1"/>
  <c r="O75" i="1"/>
  <c r="D75" i="1"/>
  <c r="B75" i="1"/>
  <c r="O74" i="1"/>
  <c r="M74" i="1"/>
  <c r="D74" i="1"/>
  <c r="B74" i="1"/>
  <c r="S73" i="1"/>
  <c r="O73" i="1"/>
  <c r="M73" i="1"/>
  <c r="F73" i="1"/>
  <c r="D73" i="1"/>
  <c r="B73" i="1"/>
  <c r="Q72" i="1"/>
  <c r="O72" i="1"/>
  <c r="M72" i="1"/>
  <c r="D72" i="1"/>
  <c r="B72" i="1"/>
  <c r="S71" i="1"/>
  <c r="O71" i="1"/>
  <c r="M71" i="1"/>
  <c r="D71" i="1"/>
  <c r="B71" i="1"/>
  <c r="Q70" i="1"/>
  <c r="O70" i="1"/>
  <c r="M70" i="1"/>
  <c r="H70" i="1"/>
  <c r="D70" i="1"/>
  <c r="B70" i="1"/>
  <c r="S69" i="1"/>
  <c r="O69" i="1"/>
  <c r="M69" i="1"/>
  <c r="D69" i="1"/>
  <c r="B69" i="1"/>
  <c r="S68" i="1"/>
  <c r="O68" i="1"/>
  <c r="M68" i="1"/>
  <c r="D68" i="1"/>
  <c r="B68" i="1"/>
  <c r="Q67" i="1"/>
  <c r="O67" i="1"/>
  <c r="M67" i="1"/>
  <c r="D67" i="1"/>
  <c r="B67" i="1"/>
  <c r="Q66" i="1"/>
  <c r="O66" i="1"/>
  <c r="M66" i="1"/>
  <c r="H66" i="1"/>
  <c r="D66" i="1"/>
  <c r="B66" i="1"/>
  <c r="O65" i="1"/>
  <c r="M65" i="1"/>
  <c r="F65" i="1"/>
  <c r="D65" i="1"/>
  <c r="B65" i="1"/>
  <c r="O64" i="1"/>
  <c r="M64" i="1"/>
  <c r="F64" i="1"/>
  <c r="D64" i="1"/>
  <c r="B64" i="1"/>
  <c r="S63" i="1"/>
  <c r="O63" i="1"/>
  <c r="M63" i="1"/>
  <c r="H63" i="1"/>
  <c r="D63" i="1"/>
  <c r="B63" i="1"/>
  <c r="Q62" i="1"/>
  <c r="O62" i="1"/>
  <c r="M62" i="1"/>
  <c r="F62" i="1"/>
  <c r="D62" i="1"/>
  <c r="B62" i="1"/>
  <c r="S61" i="1"/>
  <c r="O61" i="1"/>
  <c r="M61" i="1"/>
  <c r="D61" i="1"/>
  <c r="B61" i="1"/>
</calcChain>
</file>

<file path=xl/sharedStrings.xml><?xml version="1.0" encoding="utf-8"?>
<sst xmlns="http://schemas.openxmlformats.org/spreadsheetml/2006/main" count="272" uniqueCount="187">
  <si>
    <t>Price List</t>
  </si>
  <si>
    <t>Collection</t>
  </si>
  <si>
    <t>2x3</t>
  </si>
  <si>
    <t>3x5</t>
  </si>
  <si>
    <t>4x6</t>
  </si>
  <si>
    <t>5x7</t>
  </si>
  <si>
    <t>6x9</t>
  </si>
  <si>
    <t>8x10</t>
  </si>
  <si>
    <t>9x12</t>
  </si>
  <si>
    <t>10x14</t>
  </si>
  <si>
    <t>12x15</t>
  </si>
  <si>
    <t>12x18</t>
  </si>
  <si>
    <t>2.6x8</t>
  </si>
  <si>
    <t>2.6x10</t>
  </si>
  <si>
    <t>2.6x12</t>
  </si>
  <si>
    <t>4x8</t>
  </si>
  <si>
    <t>4x10</t>
  </si>
  <si>
    <t>6' RD</t>
  </si>
  <si>
    <t>8' RD</t>
  </si>
  <si>
    <t>10' RD</t>
  </si>
  <si>
    <t>6' SQ</t>
  </si>
  <si>
    <t>8' SQ</t>
  </si>
  <si>
    <t>10' SQ</t>
  </si>
  <si>
    <r>
      <rPr>
        <b/>
        <sz val="10"/>
        <color indexed="8"/>
        <rFont val="Arial"/>
        <family val="2"/>
      </rPr>
      <t>ALASIO (AS)</t>
    </r>
    <r>
      <rPr>
        <sz val="9"/>
        <color indexed="8"/>
        <rFont val="Arial"/>
        <family val="2"/>
      </rPr>
      <t xml:space="preserve"> </t>
    </r>
    <r>
      <rPr>
        <sz val="11"/>
        <color indexed="8"/>
        <rFont val="Arial"/>
        <family val="2"/>
      </rPr>
      <t>|</t>
    </r>
    <r>
      <rPr>
        <sz val="6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Wool/Viscose</t>
    </r>
  </si>
  <si>
    <t>5.6x8.6 $704</t>
  </si>
  <si>
    <r>
      <rPr>
        <b/>
        <sz val="10"/>
        <color indexed="8"/>
        <rFont val="Arial"/>
        <family val="2"/>
      </rPr>
      <t>ALTAIR (AT)</t>
    </r>
    <r>
      <rPr>
        <sz val="9"/>
        <color indexed="8"/>
        <rFont val="Arial"/>
        <family val="2"/>
      </rPr>
      <t xml:space="preserve"> </t>
    </r>
    <r>
      <rPr>
        <sz val="11"/>
        <color indexed="8"/>
        <rFont val="Arial"/>
        <family val="2"/>
      </rPr>
      <t>|</t>
    </r>
    <r>
      <rPr>
        <sz val="6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Wool/Viscose</t>
    </r>
  </si>
  <si>
    <r>
      <t>ARCADIA (AC)</t>
    </r>
    <r>
      <rPr>
        <sz val="9"/>
        <color indexed="8"/>
        <rFont val="Arial"/>
        <family val="2"/>
      </rPr>
      <t xml:space="preserve"> | Wool/Viscose</t>
    </r>
  </si>
  <si>
    <r>
      <t>AREZZO (AZ)</t>
    </r>
    <r>
      <rPr>
        <sz val="9"/>
        <color indexed="8"/>
        <rFont val="Arial"/>
        <family val="2"/>
      </rPr>
      <t xml:space="preserve"> | Wool/Viscose</t>
    </r>
  </si>
  <si>
    <r>
      <rPr>
        <b/>
        <sz val="10"/>
        <color indexed="8"/>
        <rFont val="Arial"/>
        <family val="2"/>
      </rPr>
      <t>ASTOR (AS)</t>
    </r>
    <r>
      <rPr>
        <sz val="9"/>
        <color indexed="8"/>
        <rFont val="Arial"/>
        <family val="2"/>
      </rPr>
      <t xml:space="preserve"> | Wool/Viscose</t>
    </r>
  </si>
  <si>
    <r>
      <rPr>
        <b/>
        <sz val="9"/>
        <color indexed="8"/>
        <rFont val="Arial"/>
        <family val="2"/>
      </rPr>
      <t>BLUE MOON (BM)</t>
    </r>
    <r>
      <rPr>
        <sz val="7"/>
        <color indexed="8"/>
        <rFont val="Arial"/>
        <family val="2"/>
      </rPr>
      <t xml:space="preserve"> | Wool/Viscose</t>
    </r>
  </si>
  <si>
    <r>
      <t>BOURGES (BH)</t>
    </r>
    <r>
      <rPr>
        <sz val="7"/>
        <color indexed="8"/>
        <rFont val="Arial"/>
        <family val="2"/>
      </rPr>
      <t xml:space="preserve"> | Wool/Viscose</t>
    </r>
  </si>
  <si>
    <r>
      <t>BOWERY (BW)</t>
    </r>
    <r>
      <rPr>
        <sz val="10"/>
        <color indexed="8"/>
        <rFont val="Arial"/>
        <family val="2"/>
      </rPr>
      <t xml:space="preserve"> | Wool</t>
    </r>
  </si>
  <si>
    <r>
      <t>BRAMPTON (BT)</t>
    </r>
    <r>
      <rPr>
        <sz val="10"/>
        <color indexed="8"/>
        <rFont val="Arial"/>
        <family val="2"/>
      </rPr>
      <t xml:space="preserve"> | Wool</t>
    </r>
  </si>
  <si>
    <r>
      <t>BRESCIA (BC)</t>
    </r>
    <r>
      <rPr>
        <sz val="10"/>
        <color indexed="8"/>
        <rFont val="Arial"/>
        <family val="2"/>
      </rPr>
      <t xml:space="preserve"> | Wool</t>
    </r>
  </si>
  <si>
    <r>
      <t>CAMERINO (CO)</t>
    </r>
    <r>
      <rPr>
        <sz val="8"/>
        <color indexed="8"/>
        <rFont val="Arial"/>
        <family val="2"/>
      </rPr>
      <t xml:space="preserve"> | Wool/Viscose</t>
    </r>
  </si>
  <si>
    <r>
      <t>CARPE (CE)</t>
    </r>
    <r>
      <rPr>
        <sz val="8"/>
        <color indexed="8"/>
        <rFont val="Arial"/>
        <family val="2"/>
      </rPr>
      <t xml:space="preserve"> | Wool/Viscose</t>
    </r>
  </si>
  <si>
    <r>
      <rPr>
        <b/>
        <sz val="9"/>
        <color indexed="8"/>
        <rFont val="Arial"/>
        <family val="2"/>
      </rPr>
      <t>CHARLEROI (CH)</t>
    </r>
    <r>
      <rPr>
        <sz val="7"/>
        <color indexed="8"/>
        <rFont val="Arial"/>
        <family val="2"/>
      </rPr>
      <t xml:space="preserve"> | </t>
    </r>
    <r>
      <rPr>
        <sz val="8"/>
        <color indexed="8"/>
        <rFont val="Arial"/>
        <family val="2"/>
      </rPr>
      <t>Wool/Real Silk</t>
    </r>
  </si>
  <si>
    <r>
      <t>COMO (CM</t>
    </r>
    <r>
      <rPr>
        <sz val="10"/>
        <color indexed="8"/>
        <rFont val="Arial"/>
        <family val="2"/>
      </rPr>
      <t>)</t>
    </r>
    <r>
      <rPr>
        <sz val="9"/>
        <color indexed="8"/>
        <rFont val="Arial"/>
        <family val="2"/>
      </rPr>
      <t xml:space="preserve"> | Wool/Viscose</t>
    </r>
  </si>
  <si>
    <r>
      <t>COPA (CP</t>
    </r>
    <r>
      <rPr>
        <sz val="10"/>
        <color indexed="8"/>
        <rFont val="Arial"/>
        <family val="2"/>
      </rPr>
      <t>)</t>
    </r>
    <r>
      <rPr>
        <sz val="9"/>
        <color indexed="8"/>
        <rFont val="Arial"/>
        <family val="2"/>
      </rPr>
      <t xml:space="preserve"> | Viscose</t>
    </r>
  </si>
  <si>
    <r>
      <t>CRESCENDO (CR)</t>
    </r>
    <r>
      <rPr>
        <sz val="8"/>
        <color indexed="8"/>
        <rFont val="Arial"/>
        <family val="2"/>
      </rPr>
      <t xml:space="preserve"> | Wool/Viscose</t>
    </r>
  </si>
  <si>
    <r>
      <t>CYPRESS (CY)</t>
    </r>
    <r>
      <rPr>
        <sz val="8"/>
        <color indexed="8"/>
        <rFont val="Arial"/>
        <family val="2"/>
      </rPr>
      <t xml:space="preserve"> | Wool/Viscose</t>
    </r>
  </si>
  <si>
    <r>
      <t>DERBY (DR)</t>
    </r>
    <r>
      <rPr>
        <sz val="10"/>
        <color indexed="8"/>
        <rFont val="Arial"/>
        <family val="2"/>
      </rPr>
      <t xml:space="preserve"> | Wool</t>
    </r>
  </si>
  <si>
    <r>
      <t>ELEMENTS (EL)</t>
    </r>
    <r>
      <rPr>
        <sz val="8"/>
        <color indexed="8"/>
        <rFont val="Arial"/>
        <family val="2"/>
      </rPr>
      <t xml:space="preserve"> | Wool/Viscose</t>
    </r>
  </si>
  <si>
    <r>
      <t>FUERTO (FT)</t>
    </r>
    <r>
      <rPr>
        <sz val="8"/>
        <color indexed="8"/>
        <rFont val="Arial"/>
        <family val="2"/>
      </rPr>
      <t xml:space="preserve"> | Wool/Viscose</t>
    </r>
  </si>
  <si>
    <r>
      <t>JENA (JN)</t>
    </r>
    <r>
      <rPr>
        <sz val="8"/>
        <color indexed="8"/>
        <rFont val="Arial"/>
        <family val="2"/>
      </rPr>
      <t xml:space="preserve"> | Acrylic/Viscose</t>
    </r>
  </si>
  <si>
    <r>
      <t>LYRIC (LR)</t>
    </r>
    <r>
      <rPr>
        <sz val="8"/>
        <color indexed="8"/>
        <rFont val="Arial"/>
        <family val="2"/>
      </rPr>
      <t xml:space="preserve"> | Wool/Viscose</t>
    </r>
  </si>
  <si>
    <r>
      <t>MARITIMA (MR)</t>
    </r>
    <r>
      <rPr>
        <sz val="10"/>
        <color indexed="8"/>
        <rFont val="Arial"/>
        <family val="2"/>
      </rPr>
      <t xml:space="preserve"> | Wool</t>
    </r>
  </si>
  <si>
    <r>
      <rPr>
        <b/>
        <sz val="9"/>
        <color indexed="8"/>
        <rFont val="Arial"/>
        <family val="2"/>
      </rPr>
      <t>MENDOZA (MZ)</t>
    </r>
    <r>
      <rPr>
        <sz val="8"/>
        <color indexed="8"/>
        <rFont val="Arial"/>
        <family val="2"/>
      </rPr>
      <t xml:space="preserve"> | Viscose</t>
    </r>
  </si>
  <si>
    <t>N NATORI 24-SEVEN (TF)</t>
  </si>
  <si>
    <t>N NATORI BLISS (BL)</t>
  </si>
  <si>
    <t>N NATORI SERENGETI (SG)</t>
  </si>
  <si>
    <r>
      <t>NATORI DYNASTY (DN)</t>
    </r>
    <r>
      <rPr>
        <sz val="8"/>
        <color indexed="8"/>
        <rFont val="Arial"/>
        <family val="2"/>
      </rPr>
      <t xml:space="preserve"> | Wool</t>
    </r>
  </si>
  <si>
    <r>
      <rPr>
        <b/>
        <sz val="7"/>
        <color indexed="8"/>
        <rFont val="Arial"/>
        <family val="2"/>
      </rPr>
      <t>NATORI LHASA (NH)</t>
    </r>
    <r>
      <rPr>
        <sz val="7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| Wool/Viscose</t>
    </r>
  </si>
  <si>
    <r>
      <t>NEBULA (NB)</t>
    </r>
    <r>
      <rPr>
        <sz val="9"/>
        <color indexed="8"/>
        <rFont val="Arial"/>
        <family val="2"/>
      </rPr>
      <t xml:space="preserve"> | Wool</t>
    </r>
  </si>
  <si>
    <r>
      <t>NEWTON (NW)</t>
    </r>
    <r>
      <rPr>
        <sz val="9"/>
        <color indexed="8"/>
        <rFont val="Arial"/>
        <family val="2"/>
      </rPr>
      <t xml:space="preserve"> | Wool</t>
    </r>
  </si>
  <si>
    <r>
      <t>OXFORD (OX)</t>
    </r>
    <r>
      <rPr>
        <sz val="8"/>
        <color indexed="8"/>
        <rFont val="Arial"/>
        <family val="2"/>
      </rPr>
      <t xml:space="preserve"> | Wool/Viscose</t>
    </r>
  </si>
  <si>
    <r>
      <t xml:space="preserve">PALMAR (PM) </t>
    </r>
    <r>
      <rPr>
        <sz val="10"/>
        <color indexed="8"/>
        <rFont val="Arial"/>
        <family val="2"/>
      </rPr>
      <t xml:space="preserve">| </t>
    </r>
    <r>
      <rPr>
        <sz val="8"/>
        <color indexed="8"/>
        <rFont val="Arial"/>
        <family val="2"/>
      </rPr>
      <t>Wool/Viscose</t>
    </r>
  </si>
  <si>
    <r>
      <rPr>
        <b/>
        <sz val="8"/>
        <color indexed="8"/>
        <rFont val="Arial"/>
        <family val="2"/>
      </rPr>
      <t>PANORAMA (PR)</t>
    </r>
    <r>
      <rPr>
        <sz val="8"/>
        <color indexed="8"/>
        <rFont val="Arial"/>
        <family val="2"/>
      </rPr>
      <t xml:space="preserve"> | Wool/Viscose</t>
    </r>
  </si>
  <si>
    <r>
      <t>PILA (PI)</t>
    </r>
    <r>
      <rPr>
        <sz val="9"/>
        <color indexed="8"/>
        <rFont val="Arial"/>
        <family val="2"/>
      </rPr>
      <t xml:space="preserve"> | Wool</t>
    </r>
  </si>
  <si>
    <r>
      <t>RIVIERA (RV)</t>
    </r>
    <r>
      <rPr>
        <sz val="8"/>
        <color indexed="8"/>
        <rFont val="Arial"/>
        <family val="2"/>
      </rPr>
      <t xml:space="preserve"> | </t>
    </r>
    <r>
      <rPr>
        <sz val="7"/>
        <color indexed="8"/>
        <rFont val="Arial"/>
        <family val="2"/>
      </rPr>
      <t>Polyester/Viscose</t>
    </r>
  </si>
  <si>
    <r>
      <rPr>
        <b/>
        <sz val="9"/>
        <color indexed="8"/>
        <rFont val="Arial"/>
        <family val="2"/>
      </rPr>
      <t>SAVONA (SA)</t>
    </r>
    <r>
      <rPr>
        <sz val="9"/>
        <color indexed="8"/>
        <rFont val="Arial"/>
        <family val="2"/>
      </rPr>
      <t xml:space="preserve"> | Wool/Viscose</t>
    </r>
  </si>
  <si>
    <r>
      <t>Siran (SN)</t>
    </r>
    <r>
      <rPr>
        <sz val="10"/>
        <color indexed="8"/>
        <rFont val="Arial"/>
        <family val="2"/>
      </rPr>
      <t xml:space="preserve"> | Wool</t>
    </r>
  </si>
  <si>
    <t>SIRAN BASIC BS)</t>
  </si>
  <si>
    <t>SIRAN CHROMA CS)</t>
  </si>
  <si>
    <t>SIRAN MODERN (MS)</t>
  </si>
  <si>
    <t>SOLSTICE (SL)</t>
  </si>
  <si>
    <r>
      <t>SONOMA (SM)</t>
    </r>
    <r>
      <rPr>
        <sz val="8"/>
        <color indexed="8"/>
        <rFont val="Arial"/>
        <family val="2"/>
      </rPr>
      <t xml:space="preserve"> | Wool/Viscose</t>
    </r>
  </si>
  <si>
    <t>SPECTRA (SP)</t>
  </si>
  <si>
    <r>
      <t>SVALBARD (SB)</t>
    </r>
    <r>
      <rPr>
        <sz val="8"/>
        <color indexed="8"/>
        <rFont val="Arial"/>
        <family val="2"/>
      </rPr>
      <t xml:space="preserve"> | Wool/Viscose</t>
    </r>
  </si>
  <si>
    <r>
      <t>TRIBECA (TB)</t>
    </r>
    <r>
      <rPr>
        <sz val="9"/>
        <color indexed="8"/>
        <rFont val="Arial"/>
        <family val="2"/>
      </rPr>
      <t xml:space="preserve"> | Viscose</t>
    </r>
  </si>
  <si>
    <r>
      <t>TROPEZ (TP)</t>
    </r>
    <r>
      <rPr>
        <sz val="9"/>
        <color indexed="8"/>
        <rFont val="Arial"/>
        <family val="2"/>
      </rPr>
      <t xml:space="preserve"> | Viscose</t>
    </r>
  </si>
  <si>
    <t>VIENNE (VE)</t>
  </si>
  <si>
    <t>Design</t>
  </si>
  <si>
    <t>13' x 18'</t>
  </si>
  <si>
    <t>14' x 20'</t>
  </si>
  <si>
    <t>15' x 22'</t>
  </si>
  <si>
    <t>16' x 24'</t>
  </si>
  <si>
    <t>AV-949</t>
  </si>
  <si>
    <t>NH-387</t>
  </si>
  <si>
    <t>CR-420</t>
  </si>
  <si>
    <t>NH-392</t>
  </si>
  <si>
    <t>CR-421</t>
  </si>
  <si>
    <t>NB-910</t>
  </si>
  <si>
    <t>CM-930</t>
  </si>
  <si>
    <t>NB-092</t>
  </si>
  <si>
    <t>CM-931</t>
  </si>
  <si>
    <t>NB-095</t>
  </si>
  <si>
    <t>CM-934</t>
  </si>
  <si>
    <t>KZ-525</t>
  </si>
  <si>
    <t>LR-370</t>
  </si>
  <si>
    <t>KZ-524</t>
  </si>
  <si>
    <t>LR-371</t>
  </si>
  <si>
    <t>KZ-523</t>
  </si>
  <si>
    <t>PR-582</t>
  </si>
  <si>
    <t>KZ-472</t>
  </si>
  <si>
    <t>CO-953</t>
  </si>
  <si>
    <t>SN-778</t>
  </si>
  <si>
    <t>AT-435</t>
  </si>
  <si>
    <t>SN-513</t>
  </si>
  <si>
    <t>AL-929</t>
  </si>
  <si>
    <t>SN-506</t>
  </si>
  <si>
    <t>AL-925</t>
  </si>
  <si>
    <t>SN-505</t>
  </si>
  <si>
    <t>AL-079</t>
  </si>
  <si>
    <t>SN-504</t>
  </si>
  <si>
    <t>TB-172</t>
  </si>
  <si>
    <t>NV-292</t>
  </si>
  <si>
    <t>ZF-671</t>
  </si>
  <si>
    <t>NH-385</t>
  </si>
  <si>
    <t>AZ-515</t>
  </si>
  <si>
    <t>NH-386</t>
  </si>
  <si>
    <t>AZ-516</t>
  </si>
  <si>
    <r>
      <rPr>
        <sz val="7.5"/>
        <color indexed="8"/>
        <rFont val="Arial"/>
        <family val="2"/>
      </rPr>
      <t>3.6x5.6</t>
    </r>
    <r>
      <rPr>
        <sz val="8"/>
        <color indexed="8"/>
        <rFont val="Arial"/>
        <family val="2"/>
      </rPr>
      <t xml:space="preserve"> $286</t>
    </r>
  </si>
  <si>
    <r>
      <rPr>
        <sz val="7.5"/>
        <color indexed="8"/>
        <rFont val="Arial"/>
        <family val="2"/>
      </rPr>
      <t>3.6x5.6</t>
    </r>
    <r>
      <rPr>
        <sz val="8"/>
        <color indexed="8"/>
        <rFont val="Arial"/>
        <family val="2"/>
      </rPr>
      <t xml:space="preserve"> $308</t>
    </r>
  </si>
  <si>
    <r>
      <rPr>
        <sz val="7.5"/>
        <color indexed="8"/>
        <rFont val="Arial"/>
        <family val="2"/>
      </rPr>
      <t>3.6x5.6</t>
    </r>
    <r>
      <rPr>
        <sz val="8"/>
        <color indexed="8"/>
        <rFont val="Arial"/>
        <family val="2"/>
      </rPr>
      <t xml:space="preserve"> $418</t>
    </r>
  </si>
  <si>
    <t>3.9x5.9 $429</t>
  </si>
  <si>
    <t>5.3x7.6 $506</t>
  </si>
  <si>
    <t>5.3x7.6 $176</t>
  </si>
  <si>
    <t>5.6x8.6 $748</t>
  </si>
  <si>
    <t>5.6x8.6 $1,012</t>
  </si>
  <si>
    <t>5.9x8.9 $1,012</t>
  </si>
  <si>
    <t>7.6x9.6 $1,078</t>
  </si>
  <si>
    <t>7.6x9.6 $1,540</t>
  </si>
  <si>
    <t>7.9x9.9 $1,518</t>
  </si>
  <si>
    <t>7.6x9.6 $902</t>
  </si>
  <si>
    <t>7.9x9.9 $352</t>
  </si>
  <si>
    <r>
      <rPr>
        <sz val="7.5"/>
        <color indexed="8"/>
        <rFont val="Arial"/>
        <family val="2"/>
      </rPr>
      <t>8.6x11.6</t>
    </r>
    <r>
      <rPr>
        <sz val="8"/>
        <color indexed="8"/>
        <rFont val="Arial"/>
        <family val="2"/>
      </rPr>
      <t xml:space="preserve"> $1,452</t>
    </r>
  </si>
  <si>
    <r>
      <rPr>
        <sz val="7.5"/>
        <color indexed="8"/>
        <rFont val="Arial"/>
        <family val="2"/>
      </rPr>
      <t>8.6x11.6</t>
    </r>
    <r>
      <rPr>
        <sz val="8"/>
        <color indexed="8"/>
        <rFont val="Arial"/>
        <family val="2"/>
      </rPr>
      <t xml:space="preserve"> $1,562</t>
    </r>
  </si>
  <si>
    <r>
      <rPr>
        <sz val="7.5"/>
        <color indexed="8"/>
        <rFont val="Arial"/>
        <family val="2"/>
      </rPr>
      <t>8.6x11.6</t>
    </r>
    <r>
      <rPr>
        <sz val="8"/>
        <color indexed="8"/>
        <rFont val="Arial"/>
        <family val="2"/>
      </rPr>
      <t xml:space="preserve"> $2,112</t>
    </r>
  </si>
  <si>
    <t>8.9x11.9 $2,046</t>
  </si>
  <si>
    <t>8.6x11.6 $1,254</t>
  </si>
  <si>
    <t>8.7x11.6 $440</t>
  </si>
  <si>
    <t>9.6x13 $2,222</t>
  </si>
  <si>
    <t>9.6x13 $2,376</t>
  </si>
  <si>
    <t>9.6x13 $3,190</t>
  </si>
  <si>
    <t>9.9x13.9 $3,190</t>
  </si>
  <si>
    <t>9.3x13 $638</t>
  </si>
  <si>
    <t>2.8x10 $132</t>
  </si>
  <si>
    <t>2x4 $88</t>
  </si>
  <si>
    <t>3.11x5.7 $143</t>
  </si>
  <si>
    <r>
      <rPr>
        <sz val="7.5"/>
        <color indexed="8"/>
        <rFont val="Arial"/>
        <family val="2"/>
      </rPr>
      <t>3.6x5.6</t>
    </r>
    <r>
      <rPr>
        <sz val="8"/>
        <color indexed="8"/>
        <rFont val="Arial"/>
        <family val="2"/>
      </rPr>
      <t xml:space="preserve"> $242</t>
    </r>
  </si>
  <si>
    <r>
      <rPr>
        <sz val="7.5"/>
        <color indexed="8"/>
        <rFont val="Arial"/>
        <family val="2"/>
      </rPr>
      <t>3.11x5.11</t>
    </r>
    <r>
      <rPr>
        <sz val="8"/>
        <color indexed="8"/>
        <rFont val="Arial"/>
        <family val="2"/>
      </rPr>
      <t xml:space="preserve"> $176</t>
    </r>
  </si>
  <si>
    <r>
      <rPr>
        <sz val="7.5"/>
        <color indexed="8"/>
        <rFont val="Arial"/>
        <family val="2"/>
      </rPr>
      <t>3.6x5.6</t>
    </r>
    <r>
      <rPr>
        <sz val="8"/>
        <color indexed="8"/>
        <rFont val="Arial"/>
        <family val="2"/>
      </rPr>
      <t xml:space="preserve"> $253</t>
    </r>
  </si>
  <si>
    <t>3.9x5.9 $396</t>
  </si>
  <si>
    <t>5.6x7.6 $374</t>
  </si>
  <si>
    <t>5.3x7.6 $242</t>
  </si>
  <si>
    <t>5.3x7.6 $286</t>
  </si>
  <si>
    <t>5.9x8.9 $1,276</t>
  </si>
  <si>
    <t>5.6x8.6 $572</t>
  </si>
  <si>
    <t>5.6x8.6 $594</t>
  </si>
  <si>
    <t>5.9x8.9 $924</t>
  </si>
  <si>
    <t>7.6x9.6 $638</t>
  </si>
  <si>
    <t>7.7x9.6 $440</t>
  </si>
  <si>
    <t>7.9x9.9 $1,914</t>
  </si>
  <si>
    <t>7.6x9.6 $880</t>
  </si>
  <si>
    <t>7.9x10 $572</t>
  </si>
  <si>
    <t>7.9x9.9 $1,386</t>
  </si>
  <si>
    <t>8.6x11.6 $880</t>
  </si>
  <si>
    <t>8.7x11.6 $616</t>
  </si>
  <si>
    <t>8.9x11.9 $2,618</t>
  </si>
  <si>
    <r>
      <rPr>
        <sz val="7.5"/>
        <color indexed="8"/>
        <rFont val="Arial"/>
        <family val="2"/>
      </rPr>
      <t>8.6x11.6</t>
    </r>
    <r>
      <rPr>
        <sz val="8"/>
        <color indexed="8"/>
        <rFont val="Arial"/>
        <family val="2"/>
      </rPr>
      <t xml:space="preserve"> $1,188</t>
    </r>
  </si>
  <si>
    <r>
      <rPr>
        <sz val="7.5"/>
        <color indexed="8"/>
        <rFont val="Arial"/>
        <family val="2"/>
      </rPr>
      <t>8.9x11.10</t>
    </r>
    <r>
      <rPr>
        <sz val="8"/>
        <color indexed="8"/>
        <rFont val="Arial"/>
        <family val="2"/>
      </rPr>
      <t xml:space="preserve"> $748</t>
    </r>
  </si>
  <si>
    <r>
      <rPr>
        <sz val="7.5"/>
        <color indexed="8"/>
        <rFont val="Arial"/>
        <family val="2"/>
      </rPr>
      <t>8.6x11.6</t>
    </r>
    <r>
      <rPr>
        <sz val="8"/>
        <color indexed="8"/>
        <rFont val="Arial"/>
        <family val="2"/>
      </rPr>
      <t xml:space="preserve"> $1,254</t>
    </r>
  </si>
  <si>
    <t>8.9x11.9 $1,870</t>
  </si>
  <si>
    <t>9.6x13 $1,320</t>
  </si>
  <si>
    <t>9.6x13 $902</t>
  </si>
  <si>
    <t>9.6x13 $1,078</t>
  </si>
  <si>
    <t>9.6x13 $1,892</t>
  </si>
  <si>
    <t>9.9x13.9 $2,926</t>
  </si>
  <si>
    <t>11.10x15 $1,298</t>
  </si>
  <si>
    <t>2.8x8 $132</t>
  </si>
  <si>
    <t>6.7 RD $330</t>
  </si>
  <si>
    <t>3' RD $88</t>
  </si>
  <si>
    <t>5' RD $550</t>
  </si>
  <si>
    <t>4' SQ $352</t>
  </si>
  <si>
    <t>Type Of Construction</t>
  </si>
  <si>
    <t>HAND-LOOM</t>
  </si>
  <si>
    <t>HAND KNOTTED</t>
  </si>
  <si>
    <t>POWER LOOM</t>
  </si>
  <si>
    <t>POWER LOOM / INDOOR / OUTDOOR</t>
  </si>
  <si>
    <t>HAND- LOOM</t>
  </si>
  <si>
    <t>Page 1</t>
  </si>
  <si>
    <t>Page 2</t>
  </si>
  <si>
    <t xml:space="preserve"> * All oversize rugs are hand knotted</t>
  </si>
  <si>
    <t xml:space="preserve">* For oversize rugs, availability is a minimum of 4 - 6 weeks </t>
  </si>
  <si>
    <t xml:space="preserve">                                                         OVERSIZE RUGS</t>
  </si>
  <si>
    <r>
      <t xml:space="preserve"> </t>
    </r>
    <r>
      <rPr>
        <b/>
        <sz val="14"/>
        <rFont val="Arial"/>
        <family val="2"/>
      </rPr>
      <t>* Prices for all rugs are FOB New York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</si>
</sst>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NPR&quot;* #,##0.00_);_(&quot;NPR&quot;* \(#,##0.00\);_(&quot;NPR&quot;* &quot;-&quot;??_);_(@_)"/>
    <numFmt numFmtId="165" formatCode="&quot;$&quot;#,##0"/>
  </numFmts>
  <fonts count="3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name val="Arial"/>
      <family val="2"/>
    </font>
    <font>
      <sz val="8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7.5"/>
      <color indexed="8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9"/>
      <color indexed="8"/>
      <name val="Arial"/>
      <family val="2"/>
    </font>
    <font>
      <sz val="7"/>
      <color indexed="8"/>
      <name val="Arial"/>
      <family val="2"/>
    </font>
    <font>
      <sz val="10"/>
      <color indexed="8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7"/>
      <color indexed="8"/>
      <name val="Arial"/>
      <family val="2"/>
    </font>
    <font>
      <b/>
      <sz val="8"/>
      <color indexed="8"/>
      <name val="Arial"/>
      <family val="2"/>
    </font>
    <font>
      <b/>
      <sz val="18"/>
      <name val="Arial"/>
      <family val="2"/>
    </font>
    <font>
      <b/>
      <u/>
      <sz val="14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2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name val="Arial"/>
      <family val="2"/>
    </font>
    <font>
      <b/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theme="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theme="4" tint="0.59999389629810485"/>
      </patternFill>
    </fill>
    <fill>
      <patternFill patternType="solid">
        <fgColor rgb="FFD9D9D9"/>
        <bgColor theme="4" tint="0.59999389629810485"/>
      </patternFill>
    </fill>
    <fill>
      <patternFill patternType="solid">
        <fgColor rgb="FFD9D9D9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79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wrapText="1" indent="1"/>
    </xf>
    <xf numFmtId="0" fontId="3" fillId="0" borderId="0" xfId="0" applyFont="1" applyAlignment="1">
      <alignment horizontal="right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165" fontId="12" fillId="3" borderId="4" xfId="1" applyNumberFormat="1" applyFont="1" applyFill="1" applyBorder="1" applyAlignment="1">
      <alignment horizontal="center" vertical="center" wrapText="1"/>
    </xf>
    <xf numFmtId="165" fontId="13" fillId="3" borderId="4" xfId="1" applyNumberFormat="1" applyFont="1" applyFill="1" applyBorder="1" applyAlignment="1">
      <alignment horizontal="center" vertical="center" wrapText="1"/>
    </xf>
    <xf numFmtId="165" fontId="12" fillId="3" borderId="4" xfId="1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left" vertical="center" wrapText="1"/>
    </xf>
    <xf numFmtId="165" fontId="12" fillId="0" borderId="4" xfId="1" applyNumberFormat="1" applyFont="1" applyFill="1" applyBorder="1" applyAlignment="1">
      <alignment horizontal="center" vertical="center" wrapText="1"/>
    </xf>
    <xf numFmtId="165" fontId="15" fillId="0" borderId="4" xfId="1" applyNumberFormat="1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3" borderId="3" xfId="0" applyFont="1" applyFill="1" applyBorder="1" applyAlignment="1">
      <alignment horizontal="left" vertical="center" wrapText="1"/>
    </xf>
    <xf numFmtId="165" fontId="15" fillId="3" borderId="4" xfId="1" applyNumberFormat="1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3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65" fontId="13" fillId="0" borderId="4" xfId="1" applyNumberFormat="1" applyFont="1" applyFill="1" applyBorder="1" applyAlignment="1">
      <alignment horizontal="center" vertical="center" wrapText="1"/>
    </xf>
    <xf numFmtId="165" fontId="12" fillId="0" borderId="4" xfId="1" applyNumberFormat="1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center" vertical="center" wrapText="1"/>
    </xf>
    <xf numFmtId="165" fontId="22" fillId="0" borderId="4" xfId="1" applyNumberFormat="1" applyFont="1" applyFill="1" applyBorder="1" applyAlignment="1">
      <alignment horizontal="center" vertical="center" wrapText="1"/>
    </xf>
    <xf numFmtId="165" fontId="22" fillId="3" borderId="4" xfId="1" applyNumberFormat="1" applyFont="1" applyFill="1" applyBorder="1" applyAlignment="1">
      <alignment horizontal="center" vertical="center" wrapText="1"/>
    </xf>
    <xf numFmtId="165" fontId="12" fillId="3" borderId="3" xfId="1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center" wrapText="1"/>
    </xf>
    <xf numFmtId="165" fontId="12" fillId="0" borderId="5" xfId="1" applyNumberFormat="1" applyFont="1" applyFill="1" applyBorder="1" applyAlignment="1">
      <alignment horizontal="center" vertical="center" wrapText="1"/>
    </xf>
    <xf numFmtId="165" fontId="13" fillId="0" borderId="5" xfId="1" applyNumberFormat="1" applyFont="1" applyFill="1" applyBorder="1" applyAlignment="1">
      <alignment horizontal="center" vertical="center" wrapText="1"/>
    </xf>
    <xf numFmtId="165" fontId="12" fillId="0" borderId="5" xfId="1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wrapText="1" inden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9" fillId="4" borderId="6" xfId="0" applyFont="1" applyFill="1" applyBorder="1" applyAlignment="1">
      <alignment horizontal="center" vertical="center" wrapText="1"/>
    </xf>
    <xf numFmtId="0" fontId="29" fillId="5" borderId="6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165" fontId="12" fillId="3" borderId="4" xfId="1" applyNumberFormat="1" applyFont="1" applyFill="1" applyBorder="1" applyAlignment="1">
      <alignment horizontal="center" vertical="center"/>
    </xf>
    <xf numFmtId="165" fontId="12" fillId="0" borderId="4" xfId="1" applyNumberFormat="1" applyFont="1" applyFill="1" applyBorder="1" applyAlignment="1">
      <alignment horizontal="center" vertical="center"/>
    </xf>
    <xf numFmtId="165" fontId="12" fillId="0" borderId="5" xfId="1" applyNumberFormat="1" applyFont="1" applyFill="1" applyBorder="1" applyAlignment="1">
      <alignment horizontal="center" vertical="center"/>
    </xf>
    <xf numFmtId="165" fontId="12" fillId="8" borderId="4" xfId="1" applyNumberFormat="1" applyFont="1" applyFill="1" applyBorder="1" applyAlignment="1">
      <alignment horizontal="center" vertical="center" wrapText="1"/>
    </xf>
    <xf numFmtId="165" fontId="12" fillId="9" borderId="4" xfId="1" applyNumberFormat="1" applyFont="1" applyFill="1" applyBorder="1" applyAlignment="1">
      <alignment horizontal="center" vertical="center" wrapText="1"/>
    </xf>
    <xf numFmtId="165" fontId="12" fillId="9" borderId="4" xfId="1" applyNumberFormat="1" applyFont="1" applyFill="1" applyBorder="1" applyAlignment="1">
      <alignment horizontal="center" vertical="center"/>
    </xf>
    <xf numFmtId="165" fontId="12" fillId="3" borderId="11" xfId="1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right" vertical="center"/>
    </xf>
    <xf numFmtId="165" fontId="30" fillId="7" borderId="6" xfId="1" applyNumberFormat="1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165" fontId="30" fillId="6" borderId="6" xfId="1" applyNumberFormat="1" applyFont="1" applyFill="1" applyBorder="1" applyAlignment="1">
      <alignment horizontal="center" vertical="center"/>
    </xf>
    <xf numFmtId="165" fontId="30" fillId="7" borderId="8" xfId="1" applyNumberFormat="1" applyFont="1" applyFill="1" applyBorder="1" applyAlignment="1">
      <alignment horizontal="center" vertical="center"/>
    </xf>
    <xf numFmtId="0" fontId="29" fillId="7" borderId="13" xfId="0" applyFont="1" applyFill="1" applyBorder="1" applyAlignment="1">
      <alignment horizontal="center" vertical="center" wrapText="1"/>
    </xf>
    <xf numFmtId="0" fontId="29" fillId="7" borderId="9" xfId="0" applyFont="1" applyFill="1" applyBorder="1" applyAlignment="1">
      <alignment horizontal="center" vertical="center" wrapText="1"/>
    </xf>
    <xf numFmtId="0" fontId="29" fillId="7" borderId="10" xfId="0" applyFont="1" applyFill="1" applyBorder="1" applyAlignment="1">
      <alignment horizontal="center" vertical="center" wrapText="1"/>
    </xf>
    <xf numFmtId="165" fontId="30" fillId="0" borderId="6" xfId="1" applyNumberFormat="1" applyFont="1" applyFill="1" applyBorder="1" applyAlignment="1">
      <alignment horizontal="center" vertical="center"/>
    </xf>
    <xf numFmtId="165" fontId="30" fillId="0" borderId="8" xfId="1" applyNumberFormat="1" applyFont="1" applyFill="1" applyBorder="1" applyAlignment="1">
      <alignment horizontal="center" vertical="center"/>
    </xf>
    <xf numFmtId="0" fontId="29" fillId="0" borderId="13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165" fontId="30" fillId="5" borderId="6" xfId="1" applyNumberFormat="1" applyFont="1" applyFill="1" applyBorder="1" applyAlignment="1">
      <alignment horizontal="center" vertical="center"/>
    </xf>
    <xf numFmtId="165" fontId="30" fillId="5" borderId="8" xfId="1" applyNumberFormat="1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 wrapText="1"/>
    </xf>
    <xf numFmtId="0" fontId="29" fillId="5" borderId="9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65" fontId="30" fillId="4" borderId="6" xfId="1" applyNumberFormat="1" applyFont="1" applyFill="1" applyBorder="1" applyAlignment="1">
      <alignment horizontal="center" vertical="center"/>
    </xf>
    <xf numFmtId="165" fontId="30" fillId="4" borderId="8" xfId="1" applyNumberFormat="1" applyFont="1" applyFill="1" applyBorder="1" applyAlignment="1">
      <alignment horizontal="center" vertical="center"/>
    </xf>
    <xf numFmtId="0" fontId="29" fillId="4" borderId="13" xfId="0" applyFont="1" applyFill="1" applyBorder="1" applyAlignment="1">
      <alignment horizontal="center" vertical="center" wrapText="1"/>
    </xf>
    <xf numFmtId="0" fontId="29" fillId="4" borderId="9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7" fillId="2" borderId="13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center" vertical="center" wrapText="1"/>
    </xf>
  </cellXfs>
  <cellStyles count="4">
    <cellStyle name="Currency" xfId="1" builtinId="4"/>
    <cellStyle name="Followed Hyperlink" xfId="3" builtinId="9" hidden="1"/>
    <cellStyle name="Hyperlink" xfId="2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385586</xdr:colOff>
      <xdr:row>0</xdr:row>
      <xdr:rowOff>406400</xdr:rowOff>
    </xdr:from>
    <xdr:to>
      <xdr:col>17</xdr:col>
      <xdr:colOff>147814</xdr:colOff>
      <xdr:row>0</xdr:row>
      <xdr:rowOff>1295400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345" b="33102"/>
        <a:stretch>
          <a:fillRect/>
        </a:stretch>
      </xdr:blipFill>
      <xdr:spPr bwMode="auto">
        <a:xfrm>
          <a:off x="7383286" y="406400"/>
          <a:ext cx="6988528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101598</xdr:colOff>
      <xdr:row>0</xdr:row>
      <xdr:rowOff>0</xdr:rowOff>
    </xdr:from>
    <xdr:to>
      <xdr:col>7</xdr:col>
      <xdr:colOff>609602</xdr:colOff>
      <xdr:row>0</xdr:row>
      <xdr:rowOff>1447800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5298" y="0"/>
          <a:ext cx="1854204" cy="1447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83"/>
  <sheetViews>
    <sheetView tabSelected="1" topLeftCell="A55" zoomScale="159" zoomScaleNormal="159" workbookViewId="0">
      <selection activeCell="H81" sqref="H81"/>
    </sheetView>
  </sheetViews>
  <sheetFormatPr baseColWidth="10" defaultRowHeight="16" x14ac:dyDescent="0.2"/>
  <cols>
    <col min="1" max="1" width="27" customWidth="1"/>
    <col min="2" max="2" width="5.1640625" bestFit="1" customWidth="1"/>
    <col min="3" max="3" width="7.5" bestFit="1" customWidth="1"/>
    <col min="4" max="4" width="9.1640625" bestFit="1" customWidth="1"/>
    <col min="5" max="5" width="7.83203125" bestFit="1" customWidth="1"/>
    <col min="6" max="7" width="8.83203125" bestFit="1" customWidth="1"/>
    <col min="8" max="9" width="9.5" bestFit="1" customWidth="1"/>
    <col min="10" max="10" width="26.5" bestFit="1" customWidth="1"/>
    <col min="11" max="11" width="6.6640625" bestFit="1" customWidth="1"/>
    <col min="12" max="12" width="8.83203125" bestFit="1" customWidth="1"/>
    <col min="13" max="13" width="7.5" bestFit="1" customWidth="1"/>
    <col min="14" max="14" width="6.6640625" bestFit="1" customWidth="1"/>
    <col min="15" max="15" width="5.1640625" bestFit="1" customWidth="1"/>
    <col min="16" max="16" width="6.6640625" bestFit="1" customWidth="1"/>
    <col min="17" max="17" width="7.83203125" bestFit="1" customWidth="1"/>
    <col min="18" max="19" width="6.6640625" bestFit="1" customWidth="1"/>
    <col min="20" max="20" width="7" bestFit="1" customWidth="1"/>
    <col min="21" max="22" width="6.6640625" bestFit="1" customWidth="1"/>
    <col min="23" max="23" width="31.83203125" bestFit="1" customWidth="1"/>
  </cols>
  <sheetData>
    <row r="1" spans="1:23" s="2" customFormat="1" ht="121" customHeight="1" x14ac:dyDescent="0.2">
      <c r="A1" s="1" t="s">
        <v>0</v>
      </c>
      <c r="V1" s="49" t="s">
        <v>181</v>
      </c>
      <c r="W1" s="3"/>
    </row>
    <row r="2" spans="1:23" s="2" customFormat="1" ht="21" customHeight="1" x14ac:dyDescent="0.2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5" t="s">
        <v>21</v>
      </c>
      <c r="V2" s="5" t="s">
        <v>22</v>
      </c>
      <c r="W2" s="5" t="s">
        <v>175</v>
      </c>
    </row>
    <row r="3" spans="1:23" s="2" customFormat="1" ht="21" customHeight="1" x14ac:dyDescent="0.2">
      <c r="A3" s="6" t="s">
        <v>23</v>
      </c>
      <c r="B3" s="7">
        <f>45*2.2</f>
        <v>99.000000000000014</v>
      </c>
      <c r="C3" s="7"/>
      <c r="D3" s="8" t="s">
        <v>112</v>
      </c>
      <c r="E3" s="7"/>
      <c r="F3" s="8" t="s">
        <v>24</v>
      </c>
      <c r="G3" s="8" t="s">
        <v>121</v>
      </c>
      <c r="H3" s="8" t="s">
        <v>126</v>
      </c>
      <c r="I3" s="8" t="s">
        <v>132</v>
      </c>
      <c r="J3" s="7">
        <f>1460*2.2</f>
        <v>3212.0000000000005</v>
      </c>
      <c r="K3" s="7"/>
      <c r="L3" s="7"/>
      <c r="M3" s="7">
        <f>374/2.2*2.2</f>
        <v>374.00000000000006</v>
      </c>
      <c r="N3" s="7"/>
      <c r="O3" s="7"/>
      <c r="P3" s="7"/>
      <c r="Q3" s="7"/>
      <c r="R3" s="7"/>
      <c r="S3" s="7"/>
      <c r="T3" s="7"/>
      <c r="U3" s="7"/>
      <c r="V3" s="9"/>
      <c r="W3" s="42" t="s">
        <v>176</v>
      </c>
    </row>
    <row r="4" spans="1:23" s="2" customFormat="1" ht="21" customHeight="1" x14ac:dyDescent="0.2">
      <c r="A4" s="10" t="s">
        <v>25</v>
      </c>
      <c r="B4" s="11">
        <f>160*2.2</f>
        <v>352</v>
      </c>
      <c r="C4" s="11">
        <f>390*2.2</f>
        <v>858.00000000000011</v>
      </c>
      <c r="D4" s="11">
        <f>625*2.2</f>
        <v>1375</v>
      </c>
      <c r="E4" s="11"/>
      <c r="F4" s="11">
        <f>1410*2.2</f>
        <v>3102.0000000000005</v>
      </c>
      <c r="G4" s="11">
        <f>2080*2.2</f>
        <v>4576</v>
      </c>
      <c r="H4" s="11">
        <f>2810*2.2</f>
        <v>6182.0000000000009</v>
      </c>
      <c r="I4" s="11">
        <f>3640*2.2</f>
        <v>8008.0000000000009</v>
      </c>
      <c r="J4" s="12">
        <f>5620*2.2</f>
        <v>12364.000000000002</v>
      </c>
      <c r="K4" s="11"/>
      <c r="L4" s="11"/>
      <c r="M4" s="11">
        <f>1430/2.2*2.2</f>
        <v>1430.0000000000002</v>
      </c>
      <c r="N4" s="11"/>
      <c r="O4" s="11"/>
      <c r="P4" s="11"/>
      <c r="Q4" s="11"/>
      <c r="R4" s="11"/>
      <c r="S4" s="11"/>
      <c r="T4" s="11"/>
      <c r="U4" s="11"/>
      <c r="V4" s="11"/>
      <c r="W4" s="11" t="s">
        <v>177</v>
      </c>
    </row>
    <row r="5" spans="1:23" s="2" customFormat="1" ht="21" customHeight="1" x14ac:dyDescent="0.2">
      <c r="A5" s="13" t="s">
        <v>26</v>
      </c>
      <c r="B5" s="7">
        <f>105*2.2</f>
        <v>231.00000000000003</v>
      </c>
      <c r="C5" s="7">
        <f>255*2.2</f>
        <v>561</v>
      </c>
      <c r="D5" s="7">
        <f>410*2.2</f>
        <v>902.00000000000011</v>
      </c>
      <c r="E5" s="7"/>
      <c r="F5" s="7">
        <f>920*2.2</f>
        <v>2024.0000000000002</v>
      </c>
      <c r="G5" s="7">
        <f>1360*2.2</f>
        <v>2992.0000000000005</v>
      </c>
      <c r="H5" s="7">
        <f>1840*2.2</f>
        <v>4048.0000000000005</v>
      </c>
      <c r="I5" s="7">
        <f>2380*2.2</f>
        <v>5236</v>
      </c>
      <c r="J5" s="7">
        <f>3680*2.2</f>
        <v>8096.0000000000009</v>
      </c>
      <c r="K5" s="7"/>
      <c r="L5" s="7"/>
      <c r="M5" s="7">
        <f>946/2.2*2.2</f>
        <v>946</v>
      </c>
      <c r="N5" s="7"/>
      <c r="O5" s="7"/>
      <c r="P5" s="7"/>
      <c r="Q5" s="7"/>
      <c r="R5" s="7"/>
      <c r="S5" s="7"/>
      <c r="T5" s="7"/>
      <c r="U5" s="7"/>
      <c r="V5" s="7"/>
      <c r="W5" s="46" t="s">
        <v>177</v>
      </c>
    </row>
    <row r="6" spans="1:23" s="2" customFormat="1" ht="21" customHeight="1" x14ac:dyDescent="0.2">
      <c r="A6" s="14" t="s">
        <v>27</v>
      </c>
      <c r="B6" s="11">
        <f>135*2.2</f>
        <v>297</v>
      </c>
      <c r="C6" s="11">
        <f>330*2.2</f>
        <v>726.00000000000011</v>
      </c>
      <c r="D6" s="11">
        <f>530*2.2</f>
        <v>1166</v>
      </c>
      <c r="E6" s="11"/>
      <c r="F6" s="11">
        <f>1190*2.2</f>
        <v>2618</v>
      </c>
      <c r="G6" s="11">
        <f>1760*2.2</f>
        <v>3872.0000000000005</v>
      </c>
      <c r="H6" s="11">
        <f>2380*2.2</f>
        <v>5236</v>
      </c>
      <c r="I6" s="11">
        <f>3080*2.2</f>
        <v>6776.0000000000009</v>
      </c>
      <c r="J6" s="12">
        <f>4760*2.2</f>
        <v>10472</v>
      </c>
      <c r="K6" s="11"/>
      <c r="L6" s="11"/>
      <c r="M6" s="11">
        <f>1210/2.2*2.2</f>
        <v>1210</v>
      </c>
      <c r="N6" s="11"/>
      <c r="O6" s="11"/>
      <c r="P6" s="11"/>
      <c r="Q6" s="11"/>
      <c r="R6" s="11"/>
      <c r="S6" s="11"/>
      <c r="T6" s="11"/>
      <c r="U6" s="11"/>
      <c r="V6" s="11"/>
      <c r="W6" s="11" t="s">
        <v>177</v>
      </c>
    </row>
    <row r="7" spans="1:23" s="2" customFormat="1" ht="21" customHeight="1" x14ac:dyDescent="0.2">
      <c r="A7" s="6" t="s">
        <v>28</v>
      </c>
      <c r="B7" s="7">
        <f>80*2.2</f>
        <v>176</v>
      </c>
      <c r="C7" s="7">
        <f>195*2.2</f>
        <v>429.00000000000006</v>
      </c>
      <c r="D7" s="7">
        <f>310*2.2</f>
        <v>682</v>
      </c>
      <c r="E7" s="7">
        <f>450*2.2</f>
        <v>990.00000000000011</v>
      </c>
      <c r="F7" s="7">
        <f>690*2.2</f>
        <v>1518.0000000000002</v>
      </c>
      <c r="G7" s="7">
        <f>1020*2.2</f>
        <v>2244</v>
      </c>
      <c r="H7" s="7">
        <f>1380*2.2</f>
        <v>3036.0000000000005</v>
      </c>
      <c r="I7" s="7">
        <f>1790*2.2</f>
        <v>3938.0000000000005</v>
      </c>
      <c r="J7" s="7">
        <f>2760*2.2</f>
        <v>6072.0000000000009</v>
      </c>
      <c r="K7" s="7"/>
      <c r="L7" s="7"/>
      <c r="M7" s="7">
        <f>704/2.2*2.2</f>
        <v>704</v>
      </c>
      <c r="N7" s="7"/>
      <c r="O7" s="7"/>
      <c r="P7" s="7"/>
      <c r="Q7" s="7"/>
      <c r="R7" s="7"/>
      <c r="S7" s="7"/>
      <c r="T7" s="7"/>
      <c r="U7" s="7"/>
      <c r="V7" s="7"/>
      <c r="W7" s="46" t="s">
        <v>177</v>
      </c>
    </row>
    <row r="8" spans="1:23" s="2" customFormat="1" ht="21" customHeight="1" x14ac:dyDescent="0.2">
      <c r="A8" s="14" t="s">
        <v>29</v>
      </c>
      <c r="B8" s="11">
        <f>75*2.2</f>
        <v>165</v>
      </c>
      <c r="C8" s="11">
        <f>180*2.2</f>
        <v>396.00000000000006</v>
      </c>
      <c r="D8" s="11">
        <f>290*2.2</f>
        <v>638</v>
      </c>
      <c r="E8" s="11"/>
      <c r="F8" s="11">
        <f>650*2.2</f>
        <v>1430.0000000000002</v>
      </c>
      <c r="G8" s="11">
        <f>960*2.2</f>
        <v>2112</v>
      </c>
      <c r="H8" s="11">
        <f>1300*2.2</f>
        <v>2860.0000000000005</v>
      </c>
      <c r="I8" s="11">
        <f>1680*2.2</f>
        <v>3696.0000000000005</v>
      </c>
      <c r="J8" s="11">
        <f>2600*2.2</f>
        <v>5720.0000000000009</v>
      </c>
      <c r="K8" s="11"/>
      <c r="L8" s="11"/>
      <c r="M8" s="11">
        <f>660/2.2*2.2</f>
        <v>660</v>
      </c>
      <c r="N8" s="11"/>
      <c r="O8" s="11"/>
      <c r="P8" s="11"/>
      <c r="Q8" s="11"/>
      <c r="R8" s="11"/>
      <c r="S8" s="11"/>
      <c r="T8" s="11"/>
      <c r="U8" s="11"/>
      <c r="V8" s="11"/>
      <c r="W8" s="11" t="s">
        <v>177</v>
      </c>
    </row>
    <row r="9" spans="1:23" s="2" customFormat="1" ht="21" customHeight="1" x14ac:dyDescent="0.2">
      <c r="A9" s="15" t="s">
        <v>30</v>
      </c>
      <c r="B9" s="7">
        <f>170*2.2</f>
        <v>374.00000000000006</v>
      </c>
      <c r="C9" s="7">
        <f>420*2.2</f>
        <v>924.00000000000011</v>
      </c>
      <c r="D9" s="7">
        <f>675*2.2</f>
        <v>1485.0000000000002</v>
      </c>
      <c r="E9" s="7"/>
      <c r="F9" s="7">
        <f>1520*2.2</f>
        <v>3344.0000000000005</v>
      </c>
      <c r="G9" s="7">
        <f>2240*2.2</f>
        <v>4928</v>
      </c>
      <c r="H9" s="7">
        <f>3030*2.2</f>
        <v>6666.0000000000009</v>
      </c>
      <c r="I9" s="7">
        <f>3920*2.2</f>
        <v>8624</v>
      </c>
      <c r="J9" s="16">
        <f>6050*2.2</f>
        <v>13310.000000000002</v>
      </c>
      <c r="K9" s="7"/>
      <c r="L9" s="7"/>
      <c r="M9" s="7">
        <f>1540/2.2*2.2</f>
        <v>1540.0000000000002</v>
      </c>
      <c r="N9" s="7"/>
      <c r="O9" s="7"/>
      <c r="P9" s="7"/>
      <c r="Q9" s="7"/>
      <c r="R9" s="7"/>
      <c r="S9" s="7"/>
      <c r="T9" s="7"/>
      <c r="U9" s="7"/>
      <c r="V9" s="7"/>
      <c r="W9" s="46" t="s">
        <v>177</v>
      </c>
    </row>
    <row r="10" spans="1:23" s="2" customFormat="1" ht="21" customHeight="1" x14ac:dyDescent="0.2">
      <c r="A10" s="10" t="s">
        <v>31</v>
      </c>
      <c r="B10" s="11">
        <f>100*2.2</f>
        <v>220.00000000000003</v>
      </c>
      <c r="C10" s="11">
        <f>250*2.2</f>
        <v>550</v>
      </c>
      <c r="D10" s="11">
        <f>400*2.2</f>
        <v>880.00000000000011</v>
      </c>
      <c r="E10" s="11"/>
      <c r="F10" s="11">
        <f>900*2.2</f>
        <v>1980.0000000000002</v>
      </c>
      <c r="G10" s="11">
        <f>1320*2.2</f>
        <v>2904.0000000000005</v>
      </c>
      <c r="H10" s="11">
        <f>1790*2.2</f>
        <v>3938.0000000000005</v>
      </c>
      <c r="I10" s="11">
        <f>2310*2.2</f>
        <v>5082</v>
      </c>
      <c r="J10" s="11">
        <f>3570*2.2</f>
        <v>7854.0000000000009</v>
      </c>
      <c r="K10" s="11"/>
      <c r="L10" s="11"/>
      <c r="M10" s="11">
        <f>924/2.2*2.2</f>
        <v>924</v>
      </c>
      <c r="N10" s="11"/>
      <c r="O10" s="11"/>
      <c r="P10" s="11"/>
      <c r="Q10" s="11"/>
      <c r="R10" s="11"/>
      <c r="S10" s="11"/>
      <c r="T10" s="11"/>
      <c r="U10" s="11"/>
      <c r="V10" s="11"/>
      <c r="W10" s="11" t="s">
        <v>177</v>
      </c>
    </row>
    <row r="11" spans="1:23" s="2" customFormat="1" ht="21" customHeight="1" x14ac:dyDescent="0.2">
      <c r="A11" s="15" t="s">
        <v>32</v>
      </c>
      <c r="B11" s="7">
        <f>70*2.2</f>
        <v>154</v>
      </c>
      <c r="C11" s="7">
        <f>165*2.2</f>
        <v>363.00000000000006</v>
      </c>
      <c r="D11" s="7">
        <f>265*2.2</f>
        <v>583</v>
      </c>
      <c r="E11" s="7"/>
      <c r="F11" s="7">
        <f>600*2.2</f>
        <v>1320</v>
      </c>
      <c r="G11" s="7">
        <f>880*2.2</f>
        <v>1936.0000000000002</v>
      </c>
      <c r="H11" s="7">
        <f>1190*2.2</f>
        <v>2618</v>
      </c>
      <c r="I11" s="7">
        <f>1540*2.2</f>
        <v>3388.0000000000005</v>
      </c>
      <c r="J11" s="7">
        <f>2380*2.2</f>
        <v>5236</v>
      </c>
      <c r="K11" s="7"/>
      <c r="L11" s="7"/>
      <c r="M11" s="7">
        <f>616/2.2*2.2</f>
        <v>616</v>
      </c>
      <c r="N11" s="7"/>
      <c r="O11" s="7"/>
      <c r="P11" s="7"/>
      <c r="Q11" s="7"/>
      <c r="R11" s="7"/>
      <c r="S11" s="7"/>
      <c r="T11" s="7"/>
      <c r="U11" s="7"/>
      <c r="V11" s="7"/>
      <c r="W11" s="46" t="s">
        <v>177</v>
      </c>
    </row>
    <row r="12" spans="1:23" s="2" customFormat="1" ht="21" customHeight="1" x14ac:dyDescent="0.2">
      <c r="A12" s="14" t="s">
        <v>33</v>
      </c>
      <c r="B12" s="11">
        <f>60*2.2</f>
        <v>132</v>
      </c>
      <c r="C12" s="11">
        <f>150*2.2</f>
        <v>330</v>
      </c>
      <c r="D12" s="11">
        <f>240*2.2</f>
        <v>528</v>
      </c>
      <c r="E12" s="11"/>
      <c r="F12" s="11">
        <f>540*2.2</f>
        <v>1188</v>
      </c>
      <c r="G12" s="11">
        <f>800*2.2</f>
        <v>1760.0000000000002</v>
      </c>
      <c r="H12" s="11">
        <f>1080*2.2</f>
        <v>2376</v>
      </c>
      <c r="I12" s="11">
        <f>1400*2.2</f>
        <v>3080.0000000000005</v>
      </c>
      <c r="J12" s="11">
        <f>2160*2.2</f>
        <v>4752</v>
      </c>
      <c r="K12" s="11"/>
      <c r="L12" s="11"/>
      <c r="M12" s="11">
        <f>550/2.2*2.2</f>
        <v>550</v>
      </c>
      <c r="N12" s="11"/>
      <c r="O12" s="11"/>
      <c r="P12" s="11"/>
      <c r="Q12" s="11"/>
      <c r="R12" s="11"/>
      <c r="S12" s="11"/>
      <c r="T12" s="11"/>
      <c r="U12" s="11"/>
      <c r="V12" s="11"/>
      <c r="W12" s="11" t="s">
        <v>177</v>
      </c>
    </row>
    <row r="13" spans="1:23" s="2" customFormat="1" ht="21" customHeight="1" x14ac:dyDescent="0.2">
      <c r="A13" s="13" t="s">
        <v>34</v>
      </c>
      <c r="B13" s="7">
        <f>95*2.2</f>
        <v>209.00000000000003</v>
      </c>
      <c r="C13" s="7">
        <f>235*2.2</f>
        <v>517</v>
      </c>
      <c r="D13" s="7">
        <f>375*2.2</f>
        <v>825.00000000000011</v>
      </c>
      <c r="E13" s="7"/>
      <c r="F13" s="7">
        <f>840*2.2</f>
        <v>1848.0000000000002</v>
      </c>
      <c r="G13" s="7">
        <f>1240*2.2</f>
        <v>2728</v>
      </c>
      <c r="H13" s="7">
        <f>1680*2.2</f>
        <v>3696.0000000000005</v>
      </c>
      <c r="I13" s="7">
        <f>2170*2.2</f>
        <v>4774</v>
      </c>
      <c r="J13" s="7">
        <f>3350*2.2</f>
        <v>7370.0000000000009</v>
      </c>
      <c r="K13" s="7"/>
      <c r="L13" s="7"/>
      <c r="M13" s="7">
        <f>858/2.2*2.2</f>
        <v>858</v>
      </c>
      <c r="N13" s="7"/>
      <c r="O13" s="7"/>
      <c r="P13" s="7"/>
      <c r="Q13" s="7"/>
      <c r="R13" s="7"/>
      <c r="S13" s="7"/>
      <c r="T13" s="7"/>
      <c r="U13" s="7"/>
      <c r="V13" s="7"/>
      <c r="W13" s="46" t="s">
        <v>177</v>
      </c>
    </row>
    <row r="14" spans="1:23" s="2" customFormat="1" ht="21" customHeight="1" x14ac:dyDescent="0.2">
      <c r="A14" s="10" t="s">
        <v>35</v>
      </c>
      <c r="B14" s="11">
        <f>130*2.2</f>
        <v>286</v>
      </c>
      <c r="C14" s="11">
        <f>315*2.2</f>
        <v>693</v>
      </c>
      <c r="D14" s="11">
        <f>505*2.2</f>
        <v>1111</v>
      </c>
      <c r="E14" s="11"/>
      <c r="F14" s="11">
        <f>1140*2.2</f>
        <v>2508</v>
      </c>
      <c r="G14" s="11">
        <f>1680*2.2</f>
        <v>3696.0000000000005</v>
      </c>
      <c r="H14" s="11">
        <f>2270*2.2</f>
        <v>4994</v>
      </c>
      <c r="I14" s="11">
        <f>2940*2.2</f>
        <v>6468.0000000000009</v>
      </c>
      <c r="J14" s="11">
        <f>4540*2.2</f>
        <v>9988</v>
      </c>
      <c r="K14" s="11"/>
      <c r="L14" s="11"/>
      <c r="M14" s="11">
        <f>1166/2.2*2.2</f>
        <v>1166</v>
      </c>
      <c r="N14" s="11"/>
      <c r="O14" s="11"/>
      <c r="P14" s="11"/>
      <c r="Q14" s="11"/>
      <c r="R14" s="11"/>
      <c r="S14" s="11"/>
      <c r="T14" s="11"/>
      <c r="U14" s="11"/>
      <c r="V14" s="11"/>
      <c r="W14" s="11" t="s">
        <v>177</v>
      </c>
    </row>
    <row r="15" spans="1:23" s="2" customFormat="1" ht="21" customHeight="1" x14ac:dyDescent="0.2">
      <c r="A15" s="15" t="s">
        <v>36</v>
      </c>
      <c r="B15" s="7">
        <f>160*2.2</f>
        <v>352</v>
      </c>
      <c r="C15" s="7">
        <f>390*2.2</f>
        <v>858.00000000000011</v>
      </c>
      <c r="D15" s="7">
        <f>625*2.2</f>
        <v>1375</v>
      </c>
      <c r="E15" s="7"/>
      <c r="F15" s="7">
        <f>1410*2.2</f>
        <v>3102.0000000000005</v>
      </c>
      <c r="G15" s="7">
        <f>2080*2.2</f>
        <v>4576</v>
      </c>
      <c r="H15" s="7">
        <f>2810*2.2</f>
        <v>6182.0000000000009</v>
      </c>
      <c r="I15" s="7">
        <f>3640*2.2</f>
        <v>8008.0000000000009</v>
      </c>
      <c r="J15" s="16">
        <f>5620*2.2</f>
        <v>12364.000000000002</v>
      </c>
      <c r="K15" s="7"/>
      <c r="L15" s="7"/>
      <c r="M15" s="7">
        <f>1430/2.2*2.2</f>
        <v>1430.0000000000002</v>
      </c>
      <c r="N15" s="7"/>
      <c r="O15" s="7"/>
      <c r="P15" s="7"/>
      <c r="Q15" s="7"/>
      <c r="R15" s="7"/>
      <c r="S15" s="7"/>
      <c r="T15" s="7"/>
      <c r="U15" s="7"/>
      <c r="V15" s="7"/>
      <c r="W15" s="46" t="s">
        <v>177</v>
      </c>
    </row>
    <row r="16" spans="1:23" s="2" customFormat="1" ht="21" customHeight="1" x14ac:dyDescent="0.2">
      <c r="A16" s="14" t="s">
        <v>37</v>
      </c>
      <c r="B16" s="11">
        <f>105*2.2</f>
        <v>231.00000000000003</v>
      </c>
      <c r="C16" s="11">
        <f>265*2.2</f>
        <v>583</v>
      </c>
      <c r="D16" s="11">
        <f>420*2.2</f>
        <v>924.00000000000011</v>
      </c>
      <c r="E16" s="11"/>
      <c r="F16" s="11">
        <f>950*2.2</f>
        <v>2090</v>
      </c>
      <c r="G16" s="11">
        <f>1400*2.2</f>
        <v>3080.0000000000005</v>
      </c>
      <c r="H16" s="11">
        <f>1890*2.2</f>
        <v>4158</v>
      </c>
      <c r="I16" s="11">
        <f>2450*2.2</f>
        <v>5390</v>
      </c>
      <c r="J16" s="11">
        <v>3780</v>
      </c>
      <c r="K16" s="11"/>
      <c r="L16" s="11"/>
      <c r="M16" s="11">
        <f>968/2.2*2.2</f>
        <v>968</v>
      </c>
      <c r="N16" s="11"/>
      <c r="O16" s="11"/>
      <c r="P16" s="11"/>
      <c r="Q16" s="11"/>
      <c r="R16" s="11"/>
      <c r="S16" s="11"/>
      <c r="T16" s="11"/>
      <c r="U16" s="11"/>
      <c r="V16" s="11"/>
      <c r="W16" s="11" t="s">
        <v>177</v>
      </c>
    </row>
    <row r="17" spans="1:23" s="2" customFormat="1" ht="21" customHeight="1" x14ac:dyDescent="0.2">
      <c r="A17" s="15" t="s">
        <v>38</v>
      </c>
      <c r="B17" s="7">
        <f>45*2.2</f>
        <v>99.000000000000014</v>
      </c>
      <c r="C17" s="7"/>
      <c r="D17" s="8" t="s">
        <v>113</v>
      </c>
      <c r="E17" s="7"/>
      <c r="F17" s="8" t="s">
        <v>118</v>
      </c>
      <c r="G17" s="7">
        <f>560*2.2</f>
        <v>1232</v>
      </c>
      <c r="H17" s="8" t="s">
        <v>127</v>
      </c>
      <c r="I17" s="8" t="s">
        <v>133</v>
      </c>
      <c r="J17" s="7">
        <f>1570*2.2</f>
        <v>3454.0000000000005</v>
      </c>
      <c r="K17" s="7"/>
      <c r="L17" s="7"/>
      <c r="M17" s="7">
        <f>418/2.2*2.2</f>
        <v>417.99999999999994</v>
      </c>
      <c r="N17" s="7"/>
      <c r="O17" s="7"/>
      <c r="P17" s="7"/>
      <c r="Q17" s="7"/>
      <c r="R17" s="7"/>
      <c r="S17" s="7"/>
      <c r="T17" s="7"/>
      <c r="U17" s="7"/>
      <c r="V17" s="9"/>
      <c r="W17" s="42" t="s">
        <v>176</v>
      </c>
    </row>
    <row r="18" spans="1:23" s="2" customFormat="1" ht="21" customHeight="1" x14ac:dyDescent="0.2">
      <c r="A18" s="17" t="s">
        <v>39</v>
      </c>
      <c r="B18" s="11">
        <f>110*2.2</f>
        <v>242.00000000000003</v>
      </c>
      <c r="C18" s="11">
        <f>270*2.2</f>
        <v>594</v>
      </c>
      <c r="D18" s="11">
        <f>435*2.2</f>
        <v>957.00000000000011</v>
      </c>
      <c r="E18" s="11">
        <f>630*2.2</f>
        <v>1386</v>
      </c>
      <c r="F18" s="11">
        <f>980*2.2</f>
        <v>2156</v>
      </c>
      <c r="G18" s="11">
        <f>1440*2.2</f>
        <v>3168.0000000000005</v>
      </c>
      <c r="H18" s="11">
        <f>1950*2.2</f>
        <v>4290</v>
      </c>
      <c r="I18" s="11">
        <f>2520*2.2</f>
        <v>5544</v>
      </c>
      <c r="J18" s="11">
        <f>3890*2.2</f>
        <v>8558</v>
      </c>
      <c r="K18" s="11"/>
      <c r="L18" s="11"/>
      <c r="M18" s="11">
        <f>990/2.2*2.2</f>
        <v>990</v>
      </c>
      <c r="N18" s="11"/>
      <c r="O18" s="11"/>
      <c r="P18" s="11"/>
      <c r="Q18" s="11"/>
      <c r="R18" s="11">
        <f>3058/2.2*2.2</f>
        <v>3058.0000000000005</v>
      </c>
      <c r="S18" s="11"/>
      <c r="T18" s="11"/>
      <c r="U18" s="11"/>
      <c r="V18" s="11"/>
      <c r="W18" s="11" t="s">
        <v>177</v>
      </c>
    </row>
    <row r="19" spans="1:23" s="2" customFormat="1" ht="21" customHeight="1" x14ac:dyDescent="0.2">
      <c r="A19" s="18" t="s">
        <v>40</v>
      </c>
      <c r="B19" s="7">
        <f>70*2.2</f>
        <v>154</v>
      </c>
      <c r="C19" s="7">
        <f>175*2.2</f>
        <v>385.00000000000006</v>
      </c>
      <c r="D19" s="7">
        <f>280*2.2</f>
        <v>616</v>
      </c>
      <c r="E19" s="7">
        <f>410*2.2</f>
        <v>902.00000000000011</v>
      </c>
      <c r="F19" s="7">
        <f>630*2.2</f>
        <v>1386</v>
      </c>
      <c r="G19" s="7">
        <f>920*2.2</f>
        <v>2024.0000000000002</v>
      </c>
      <c r="H19" s="7">
        <f>1250*2.2</f>
        <v>2750</v>
      </c>
      <c r="I19" s="7">
        <f>1610*2.2</f>
        <v>3542.0000000000005</v>
      </c>
      <c r="J19" s="7">
        <f>2490*2.2</f>
        <v>5478</v>
      </c>
      <c r="K19" s="7"/>
      <c r="L19" s="7"/>
      <c r="M19" s="7">
        <f>638/2.2*2.2</f>
        <v>638</v>
      </c>
      <c r="N19" s="7"/>
      <c r="O19" s="7"/>
      <c r="P19" s="7"/>
      <c r="Q19" s="7"/>
      <c r="R19" s="7"/>
      <c r="S19" s="7"/>
      <c r="T19" s="7"/>
      <c r="U19" s="7"/>
      <c r="V19" s="7"/>
      <c r="W19" s="46" t="s">
        <v>177</v>
      </c>
    </row>
    <row r="20" spans="1:23" s="2" customFormat="1" ht="21" customHeight="1" x14ac:dyDescent="0.2">
      <c r="A20" s="14" t="s">
        <v>41</v>
      </c>
      <c r="B20" s="11">
        <f>70*2.2</f>
        <v>154</v>
      </c>
      <c r="C20" s="11">
        <f>165*2.2</f>
        <v>363.00000000000006</v>
      </c>
      <c r="D20" s="11">
        <f>265*2.2</f>
        <v>583</v>
      </c>
      <c r="E20" s="11"/>
      <c r="F20" s="11">
        <f>600*2.2</f>
        <v>1320</v>
      </c>
      <c r="G20" s="11">
        <f>880*2.2</f>
        <v>1936.0000000000002</v>
      </c>
      <c r="H20" s="11">
        <f>1190*2.2</f>
        <v>2618</v>
      </c>
      <c r="I20" s="11">
        <f>1540*2.2</f>
        <v>3388.0000000000005</v>
      </c>
      <c r="J20" s="11">
        <f>2380*2.2</f>
        <v>5236</v>
      </c>
      <c r="K20" s="11"/>
      <c r="L20" s="11"/>
      <c r="M20" s="11">
        <f>616/2.2*2.2</f>
        <v>616</v>
      </c>
      <c r="N20" s="11"/>
      <c r="O20" s="11"/>
      <c r="P20" s="11"/>
      <c r="Q20" s="11"/>
      <c r="R20" s="11"/>
      <c r="S20" s="11"/>
      <c r="T20" s="11"/>
      <c r="U20" s="11"/>
      <c r="V20" s="11"/>
      <c r="W20" s="11" t="s">
        <v>177</v>
      </c>
    </row>
    <row r="21" spans="1:23" s="2" customFormat="1" ht="21" customHeight="1" x14ac:dyDescent="0.2">
      <c r="A21" s="13" t="s">
        <v>42</v>
      </c>
      <c r="B21" s="7">
        <f>135*2.2</f>
        <v>297</v>
      </c>
      <c r="C21" s="7">
        <f>340*2.2</f>
        <v>748.00000000000011</v>
      </c>
      <c r="D21" s="7">
        <f>540*2.2</f>
        <v>1188</v>
      </c>
      <c r="E21" s="7"/>
      <c r="F21" s="7">
        <f>1220*2.2</f>
        <v>2684</v>
      </c>
      <c r="G21" s="7">
        <f>1800*2.2</f>
        <v>3960.0000000000005</v>
      </c>
      <c r="H21" s="7">
        <f>2430*2.2</f>
        <v>5346</v>
      </c>
      <c r="I21" s="7">
        <f>3150*2.2</f>
        <v>6930.0000000000009</v>
      </c>
      <c r="J21" s="16">
        <f>4860*2.2</f>
        <v>10692</v>
      </c>
      <c r="K21" s="7"/>
      <c r="L21" s="7"/>
      <c r="M21" s="7">
        <f>1254/2.2*2.2</f>
        <v>1254</v>
      </c>
      <c r="N21" s="7"/>
      <c r="O21" s="7"/>
      <c r="P21" s="7"/>
      <c r="Q21" s="7"/>
      <c r="R21" s="7"/>
      <c r="S21" s="7"/>
      <c r="T21" s="7"/>
      <c r="U21" s="7"/>
      <c r="V21" s="7"/>
      <c r="W21" s="46" t="s">
        <v>177</v>
      </c>
    </row>
    <row r="22" spans="1:23" s="2" customFormat="1" ht="21" customHeight="1" x14ac:dyDescent="0.2">
      <c r="A22" s="19" t="s">
        <v>43</v>
      </c>
      <c r="B22" s="11">
        <f>60*2.2</f>
        <v>132</v>
      </c>
      <c r="C22" s="11"/>
      <c r="D22" s="20" t="s">
        <v>114</v>
      </c>
      <c r="E22" s="11"/>
      <c r="F22" s="20" t="s">
        <v>119</v>
      </c>
      <c r="G22" s="20" t="s">
        <v>122</v>
      </c>
      <c r="H22" s="20" t="s">
        <v>128</v>
      </c>
      <c r="I22" s="20" t="s">
        <v>134</v>
      </c>
      <c r="J22" s="11"/>
      <c r="K22" s="11"/>
      <c r="L22" s="11"/>
      <c r="M22" s="11">
        <f>550/2.2*2.2</f>
        <v>550</v>
      </c>
      <c r="N22" s="11"/>
      <c r="O22" s="11"/>
      <c r="P22" s="11"/>
      <c r="Q22" s="11"/>
      <c r="R22" s="11"/>
      <c r="S22" s="11"/>
      <c r="T22" s="11"/>
      <c r="U22" s="11"/>
      <c r="V22" s="21"/>
      <c r="W22" s="43" t="s">
        <v>176</v>
      </c>
    </row>
    <row r="23" spans="1:23" s="2" customFormat="1" ht="21" customHeight="1" x14ac:dyDescent="0.2">
      <c r="A23" s="6" t="s">
        <v>44</v>
      </c>
      <c r="B23" s="7">
        <f>55*2.2</f>
        <v>121.00000000000001</v>
      </c>
      <c r="C23" s="7"/>
      <c r="D23" s="8" t="s">
        <v>115</v>
      </c>
      <c r="E23" s="7">
        <f>320*2.2</f>
        <v>704</v>
      </c>
      <c r="F23" s="8" t="s">
        <v>120</v>
      </c>
      <c r="G23" s="8" t="s">
        <v>123</v>
      </c>
      <c r="H23" s="8" t="s">
        <v>129</v>
      </c>
      <c r="I23" s="8" t="s">
        <v>135</v>
      </c>
      <c r="J23" s="7">
        <f>1950*2.2</f>
        <v>4290</v>
      </c>
      <c r="K23" s="7"/>
      <c r="L23" s="7"/>
      <c r="M23" s="7">
        <f>506/2.2*2.2</f>
        <v>506</v>
      </c>
      <c r="N23" s="7"/>
      <c r="O23" s="7"/>
      <c r="P23" s="7"/>
      <c r="Q23" s="7"/>
      <c r="R23" s="7">
        <f>1540/2.2*2.2</f>
        <v>1540.0000000000002</v>
      </c>
      <c r="S23" s="7"/>
      <c r="T23" s="7"/>
      <c r="U23" s="7"/>
      <c r="V23" s="9"/>
      <c r="W23" s="42" t="s">
        <v>178</v>
      </c>
    </row>
    <row r="24" spans="1:23" s="2" customFormat="1" ht="21" customHeight="1" x14ac:dyDescent="0.2">
      <c r="A24" s="10" t="s">
        <v>45</v>
      </c>
      <c r="B24" s="11">
        <f>160*2.2</f>
        <v>352</v>
      </c>
      <c r="C24" s="11">
        <f>390*2.2</f>
        <v>858.00000000000011</v>
      </c>
      <c r="D24" s="11">
        <f>625*2.2</f>
        <v>1375</v>
      </c>
      <c r="E24" s="11"/>
      <c r="F24" s="11">
        <f>1410*2.2</f>
        <v>3102.0000000000005</v>
      </c>
      <c r="G24" s="11">
        <f>2080*2.2</f>
        <v>4576</v>
      </c>
      <c r="H24" s="11">
        <f>2810*2.2</f>
        <v>6182.0000000000009</v>
      </c>
      <c r="I24" s="11">
        <f>3640*2.2</f>
        <v>8008.0000000000009</v>
      </c>
      <c r="J24" s="12">
        <f>5620*2.2</f>
        <v>12364.000000000002</v>
      </c>
      <c r="K24" s="11"/>
      <c r="L24" s="11"/>
      <c r="M24" s="11">
        <f>1430/2.2*2.2</f>
        <v>1430.0000000000002</v>
      </c>
      <c r="N24" s="11"/>
      <c r="O24" s="11"/>
      <c r="P24" s="11"/>
      <c r="Q24" s="11"/>
      <c r="R24" s="11"/>
      <c r="S24" s="11"/>
      <c r="T24" s="11"/>
      <c r="U24" s="11"/>
      <c r="V24" s="11"/>
      <c r="W24" s="11" t="s">
        <v>177</v>
      </c>
    </row>
    <row r="25" spans="1:23" s="2" customFormat="1" ht="21" customHeight="1" x14ac:dyDescent="0.2">
      <c r="A25" s="15" t="s">
        <v>46</v>
      </c>
      <c r="B25" s="7">
        <f>60*2.2</f>
        <v>132</v>
      </c>
      <c r="C25" s="7">
        <f>150*2.2</f>
        <v>330</v>
      </c>
      <c r="D25" s="7">
        <f>240*2.2</f>
        <v>528</v>
      </c>
      <c r="E25" s="7"/>
      <c r="F25" s="7">
        <f>540*2.2</f>
        <v>1188</v>
      </c>
      <c r="G25" s="7">
        <f>800*2.2</f>
        <v>1760.0000000000002</v>
      </c>
      <c r="H25" s="7">
        <f>1080*2.2</f>
        <v>2376</v>
      </c>
      <c r="I25" s="7">
        <f>1400*2.2</f>
        <v>3080.0000000000005</v>
      </c>
      <c r="J25" s="7">
        <f>2160*2.2</f>
        <v>4752</v>
      </c>
      <c r="K25" s="7"/>
      <c r="L25" s="7"/>
      <c r="M25" s="7">
        <f>550/2.2*2.2</f>
        <v>550</v>
      </c>
      <c r="N25" s="7"/>
      <c r="O25" s="7"/>
      <c r="P25" s="7"/>
      <c r="Q25" s="7"/>
      <c r="R25" s="7"/>
      <c r="S25" s="7"/>
      <c r="T25" s="7"/>
      <c r="U25" s="7"/>
      <c r="V25" s="7"/>
      <c r="W25" s="46" t="s">
        <v>177</v>
      </c>
    </row>
    <row r="26" spans="1:23" s="2" customFormat="1" ht="21" customHeight="1" x14ac:dyDescent="0.2">
      <c r="A26" s="17" t="s">
        <v>47</v>
      </c>
      <c r="B26" s="11">
        <f>35*2.2</f>
        <v>77</v>
      </c>
      <c r="C26" s="11"/>
      <c r="D26" s="11"/>
      <c r="E26" s="20" t="s">
        <v>116</v>
      </c>
      <c r="F26" s="11"/>
      <c r="G26" s="20" t="s">
        <v>124</v>
      </c>
      <c r="H26" s="20" t="s">
        <v>130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21"/>
      <c r="W26" s="43" t="s">
        <v>176</v>
      </c>
    </row>
    <row r="27" spans="1:23" s="2" customFormat="1" ht="21" customHeight="1" x14ac:dyDescent="0.2">
      <c r="A27" s="18" t="s">
        <v>48</v>
      </c>
      <c r="B27" s="25">
        <f>15*2.2</f>
        <v>33</v>
      </c>
      <c r="C27" s="24"/>
      <c r="D27" s="24"/>
      <c r="E27" s="8" t="s">
        <v>117</v>
      </c>
      <c r="F27" s="24"/>
      <c r="G27" s="8" t="s">
        <v>125</v>
      </c>
      <c r="H27" s="8" t="s">
        <v>131</v>
      </c>
      <c r="I27" s="8" t="s">
        <v>136</v>
      </c>
      <c r="J27" s="7"/>
      <c r="K27" s="7"/>
      <c r="L27" s="7"/>
      <c r="M27" s="8" t="s">
        <v>137</v>
      </c>
      <c r="N27" s="7"/>
      <c r="O27" s="7"/>
      <c r="P27" s="7"/>
      <c r="Q27" s="7"/>
      <c r="R27" s="7"/>
      <c r="S27" s="42"/>
      <c r="T27" s="7"/>
      <c r="U27" s="42"/>
      <c r="V27" s="9"/>
      <c r="W27" s="48" t="s">
        <v>179</v>
      </c>
    </row>
    <row r="28" spans="1:23" s="2" customFormat="1" ht="21" customHeight="1" x14ac:dyDescent="0.2">
      <c r="A28" s="14" t="s">
        <v>49</v>
      </c>
      <c r="B28" s="11">
        <f>55/2.2*2.2</f>
        <v>55</v>
      </c>
      <c r="C28" s="11" t="s">
        <v>138</v>
      </c>
      <c r="D28" s="23"/>
      <c r="E28" s="20" t="s">
        <v>144</v>
      </c>
      <c r="F28" s="23"/>
      <c r="G28" s="20" t="s">
        <v>151</v>
      </c>
      <c r="H28" s="20" t="s">
        <v>157</v>
      </c>
      <c r="I28" s="20" t="s">
        <v>164</v>
      </c>
      <c r="J28" s="11"/>
      <c r="K28" s="11"/>
      <c r="L28" s="11">
        <f>176/2.2*2.2</f>
        <v>176</v>
      </c>
      <c r="M28" s="11">
        <f>220/2.2*2.2</f>
        <v>220</v>
      </c>
      <c r="N28" s="11"/>
      <c r="O28" s="11"/>
      <c r="P28" s="11"/>
      <c r="Q28" s="11"/>
      <c r="R28" s="11"/>
      <c r="S28" s="11"/>
      <c r="T28" s="11"/>
      <c r="U28" s="11"/>
      <c r="V28" s="21"/>
      <c r="W28" s="43" t="s">
        <v>178</v>
      </c>
    </row>
    <row r="29" spans="1:23" s="2" customFormat="1" ht="21" customHeight="1" x14ac:dyDescent="0.2">
      <c r="A29" s="18" t="s">
        <v>50</v>
      </c>
      <c r="B29" s="7">
        <f>44/2.2*2.2</f>
        <v>44</v>
      </c>
      <c r="C29" s="7"/>
      <c r="D29" s="8" t="s">
        <v>139</v>
      </c>
      <c r="E29" s="8" t="s">
        <v>145</v>
      </c>
      <c r="F29" s="24"/>
      <c r="G29" s="8" t="s">
        <v>152</v>
      </c>
      <c r="H29" s="8" t="s">
        <v>158</v>
      </c>
      <c r="I29" s="8" t="s">
        <v>165</v>
      </c>
      <c r="J29" s="8" t="s">
        <v>169</v>
      </c>
      <c r="K29" s="24"/>
      <c r="L29" s="16" t="s">
        <v>170</v>
      </c>
      <c r="M29" s="24"/>
      <c r="N29" s="24"/>
      <c r="O29" s="24"/>
      <c r="P29" s="24"/>
      <c r="Q29" s="8" t="s">
        <v>171</v>
      </c>
      <c r="R29" s="7"/>
      <c r="S29" s="7"/>
      <c r="T29" s="7"/>
      <c r="U29" s="7"/>
      <c r="V29" s="9"/>
      <c r="W29" s="47" t="s">
        <v>178</v>
      </c>
    </row>
    <row r="30" spans="1:23" s="2" customFormat="1" ht="21" customHeight="1" x14ac:dyDescent="0.2">
      <c r="A30" s="17" t="s">
        <v>51</v>
      </c>
      <c r="B30" s="11">
        <f>198/2.2*2.2</f>
        <v>197.99999999999997</v>
      </c>
      <c r="C30" s="11">
        <f>495/2.2*2.2</f>
        <v>495</v>
      </c>
      <c r="D30" s="11">
        <f>792/2.2*2.2</f>
        <v>791.99999999999989</v>
      </c>
      <c r="E30" s="11">
        <f>530/2.2*2.2</f>
        <v>530</v>
      </c>
      <c r="F30" s="11">
        <f>1782/2.2*2.2</f>
        <v>1782</v>
      </c>
      <c r="G30" s="11">
        <f>2640/2.2*2.2</f>
        <v>2640</v>
      </c>
      <c r="H30" s="11">
        <f>3564/2.2*2.2</f>
        <v>3564</v>
      </c>
      <c r="I30" s="11">
        <f>4620/2.2*2.2</f>
        <v>4620</v>
      </c>
      <c r="J30" s="11">
        <f>7128/2.2*2.2</f>
        <v>7128</v>
      </c>
      <c r="K30" s="11"/>
      <c r="L30" s="11"/>
      <c r="M30" s="11">
        <f>836/2.2*2.2</f>
        <v>835.99999999999989</v>
      </c>
      <c r="N30" s="11"/>
      <c r="O30" s="11"/>
      <c r="P30" s="11"/>
      <c r="Q30" s="11"/>
      <c r="R30" s="11"/>
      <c r="S30" s="11"/>
      <c r="T30" s="11"/>
      <c r="U30" s="11"/>
      <c r="V30" s="11"/>
      <c r="W30" s="11" t="s">
        <v>177</v>
      </c>
    </row>
    <row r="31" spans="1:23" s="2" customFormat="1" ht="21" customHeight="1" x14ac:dyDescent="0.2">
      <c r="A31" s="18" t="s">
        <v>52</v>
      </c>
      <c r="B31" s="7">
        <f>297/2.2*2.2</f>
        <v>297</v>
      </c>
      <c r="C31" s="7">
        <f>726/2.2*2.2</f>
        <v>726.00000000000011</v>
      </c>
      <c r="D31" s="7">
        <f>1166/2.2*2.2</f>
        <v>1166</v>
      </c>
      <c r="E31" s="7"/>
      <c r="F31" s="7">
        <f>2618/2.2*2.2</f>
        <v>2618</v>
      </c>
      <c r="G31" s="7">
        <f>3872/2.2*2.2</f>
        <v>3872</v>
      </c>
      <c r="H31" s="7">
        <f>5236/2.2*2.2</f>
        <v>5236</v>
      </c>
      <c r="I31" s="7">
        <f>6776/2.2*2.2</f>
        <v>6776</v>
      </c>
      <c r="J31" s="16">
        <f>10472/2.2*2.2</f>
        <v>10472</v>
      </c>
      <c r="K31" s="7"/>
      <c r="L31" s="7"/>
      <c r="M31" s="7">
        <f>1210/2.2*2.2</f>
        <v>1210</v>
      </c>
      <c r="N31" s="7"/>
      <c r="O31" s="7"/>
      <c r="P31" s="7"/>
      <c r="Q31" s="7"/>
      <c r="R31" s="7">
        <f>3718/2.2*2.2</f>
        <v>3718</v>
      </c>
      <c r="S31" s="7"/>
      <c r="T31" s="7"/>
      <c r="U31" s="7"/>
      <c r="V31" s="7"/>
      <c r="W31" s="46" t="s">
        <v>177</v>
      </c>
    </row>
    <row r="32" spans="1:23" s="2" customFormat="1" ht="21" customHeight="1" x14ac:dyDescent="0.2">
      <c r="A32" s="19" t="s">
        <v>53</v>
      </c>
      <c r="B32" s="11">
        <f>308/2.2*2.2</f>
        <v>308</v>
      </c>
      <c r="C32" s="11">
        <f>759/2.2*2.2</f>
        <v>759.00000000000011</v>
      </c>
      <c r="D32" s="11">
        <f>1221/2.2*2.2</f>
        <v>1221</v>
      </c>
      <c r="E32" s="11"/>
      <c r="F32" s="11">
        <f>2750/2.2*2.2</f>
        <v>2750</v>
      </c>
      <c r="G32" s="11">
        <f>4048/2.2*2.2</f>
        <v>4048</v>
      </c>
      <c r="H32" s="11">
        <f>5478/2.2*2.2</f>
        <v>5478</v>
      </c>
      <c r="I32" s="11">
        <f>7084/2.2*2.2</f>
        <v>7084</v>
      </c>
      <c r="J32" s="12">
        <f>10934/2.2*2.2</f>
        <v>10934</v>
      </c>
      <c r="K32" s="11"/>
      <c r="L32" s="11"/>
      <c r="M32" s="11">
        <f>1276/2.2*2.2</f>
        <v>1276</v>
      </c>
      <c r="N32" s="11"/>
      <c r="O32" s="11"/>
      <c r="P32" s="11"/>
      <c r="Q32" s="11"/>
      <c r="R32" s="11">
        <f>3894/2.2*2.2</f>
        <v>3894</v>
      </c>
      <c r="S32" s="11"/>
      <c r="T32" s="11"/>
      <c r="U32" s="11"/>
      <c r="V32" s="11"/>
      <c r="W32" s="11" t="s">
        <v>177</v>
      </c>
    </row>
    <row r="33" spans="1:23" s="2" customFormat="1" ht="21" customHeight="1" x14ac:dyDescent="0.2">
      <c r="A33" s="13" t="s">
        <v>54</v>
      </c>
      <c r="B33" s="7">
        <f>209/2.2*2.2</f>
        <v>208.99999999999997</v>
      </c>
      <c r="C33" s="7">
        <f>517/2.2*2.2</f>
        <v>517</v>
      </c>
      <c r="D33" s="7">
        <f>814/2.2*2.2</f>
        <v>813.99999999999989</v>
      </c>
      <c r="E33" s="7"/>
      <c r="F33" s="7">
        <f>1848/2.2*2.2</f>
        <v>1848</v>
      </c>
      <c r="G33" s="7">
        <f>2728/2.2*2.2</f>
        <v>2728</v>
      </c>
      <c r="H33" s="7">
        <f>3674/2.2*2.2</f>
        <v>3674</v>
      </c>
      <c r="I33" s="7">
        <f>4752/2.2*2.2</f>
        <v>4752</v>
      </c>
      <c r="J33" s="7">
        <f>7326/2.2*2.2</f>
        <v>7326</v>
      </c>
      <c r="K33" s="7"/>
      <c r="L33" s="7"/>
      <c r="M33" s="7">
        <f>858/2.2*2.2</f>
        <v>858</v>
      </c>
      <c r="N33" s="7"/>
      <c r="O33" s="7"/>
      <c r="P33" s="7"/>
      <c r="Q33" s="7"/>
      <c r="R33" s="7"/>
      <c r="S33" s="7"/>
      <c r="T33" s="7"/>
      <c r="U33" s="7"/>
      <c r="V33" s="7"/>
      <c r="W33" s="46" t="s">
        <v>177</v>
      </c>
    </row>
    <row r="34" spans="1:23" s="2" customFormat="1" ht="21" customHeight="1" x14ac:dyDescent="0.2">
      <c r="A34" s="14" t="s">
        <v>55</v>
      </c>
      <c r="B34" s="11">
        <f>154/2.2*2.2</f>
        <v>154</v>
      </c>
      <c r="C34" s="11"/>
      <c r="D34" s="11"/>
      <c r="E34" s="11"/>
      <c r="F34" s="20" t="s">
        <v>147</v>
      </c>
      <c r="G34" s="20" t="s">
        <v>153</v>
      </c>
      <c r="H34" s="20" t="s">
        <v>159</v>
      </c>
      <c r="I34" s="11">
        <f>3542/2.2*2.2</f>
        <v>3542</v>
      </c>
      <c r="J34" s="11">
        <f>5478/2.2*2.2</f>
        <v>5478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 t="s">
        <v>177</v>
      </c>
    </row>
    <row r="35" spans="1:23" s="2" customFormat="1" ht="21" customHeight="1" x14ac:dyDescent="0.2">
      <c r="A35" s="15" t="s">
        <v>56</v>
      </c>
      <c r="B35" s="7">
        <f>77/2.2*2.2</f>
        <v>77</v>
      </c>
      <c r="C35" s="7"/>
      <c r="D35" s="8" t="s">
        <v>140</v>
      </c>
      <c r="E35" s="8"/>
      <c r="F35" s="8" t="s">
        <v>148</v>
      </c>
      <c r="G35" s="8" t="s">
        <v>154</v>
      </c>
      <c r="H35" s="8" t="s">
        <v>160</v>
      </c>
      <c r="I35" s="8" t="s">
        <v>166</v>
      </c>
      <c r="J35" s="7">
        <f>2618/2.2*2.2</f>
        <v>2618</v>
      </c>
      <c r="K35" s="7"/>
      <c r="L35" s="7"/>
      <c r="M35" s="7">
        <f>308/2.2*2.2</f>
        <v>308</v>
      </c>
      <c r="N35" s="7"/>
      <c r="O35" s="7"/>
      <c r="P35" s="7"/>
      <c r="Q35" s="7"/>
      <c r="R35" s="7"/>
      <c r="S35" s="7"/>
      <c r="T35" s="7"/>
      <c r="U35" s="7"/>
      <c r="V35" s="9"/>
      <c r="W35" s="42" t="s">
        <v>180</v>
      </c>
    </row>
    <row r="36" spans="1:23" s="2" customFormat="1" ht="21" customHeight="1" x14ac:dyDescent="0.2">
      <c r="A36" s="17" t="s">
        <v>57</v>
      </c>
      <c r="B36" s="11">
        <f>319/2.2*2.2</f>
        <v>319</v>
      </c>
      <c r="C36" s="11">
        <f>781/2.2*2.2</f>
        <v>780.99999999999989</v>
      </c>
      <c r="D36" s="11">
        <f>1243/2.2*2.2</f>
        <v>1243</v>
      </c>
      <c r="E36" s="11"/>
      <c r="F36" s="11">
        <f>2794/2.2*2.2</f>
        <v>2794</v>
      </c>
      <c r="G36" s="11">
        <f>4136/2.2*2.2</f>
        <v>4136</v>
      </c>
      <c r="H36" s="11">
        <f>5588/2.2*2.2</f>
        <v>5588</v>
      </c>
      <c r="I36" s="11">
        <f>7238/2.2*2.2</f>
        <v>7238</v>
      </c>
      <c r="J36" s="12">
        <f>11176/2.2*2.2</f>
        <v>11176</v>
      </c>
      <c r="K36" s="11"/>
      <c r="L36" s="11"/>
      <c r="M36" s="11">
        <f>1298/2.2*2.2</f>
        <v>1298</v>
      </c>
      <c r="N36" s="11"/>
      <c r="O36" s="11"/>
      <c r="P36" s="11"/>
      <c r="Q36" s="11"/>
      <c r="R36" s="11"/>
      <c r="S36" s="11"/>
      <c r="T36" s="11"/>
      <c r="U36" s="11"/>
      <c r="V36" s="11"/>
      <c r="W36" s="11" t="s">
        <v>177</v>
      </c>
    </row>
    <row r="37" spans="1:23" s="2" customFormat="1" ht="21" customHeight="1" x14ac:dyDescent="0.2">
      <c r="A37" s="6" t="s">
        <v>58</v>
      </c>
      <c r="B37" s="7">
        <f>154/2.2*2.2</f>
        <v>154</v>
      </c>
      <c r="C37" s="7">
        <f>363/2.2*2.2</f>
        <v>363.00000000000006</v>
      </c>
      <c r="D37" s="7">
        <f>583/2.2*2.2</f>
        <v>583</v>
      </c>
      <c r="E37" s="7"/>
      <c r="F37" s="7">
        <f>1320/2.2*2.2</f>
        <v>1320</v>
      </c>
      <c r="G37" s="7">
        <f>1936/2.2*2.2</f>
        <v>1936</v>
      </c>
      <c r="H37" s="7">
        <f>2618/2.2*2.2</f>
        <v>2618</v>
      </c>
      <c r="I37" s="7">
        <f>3388/2.2*2.2</f>
        <v>3388</v>
      </c>
      <c r="J37" s="7">
        <f>5236/2.2*2.2</f>
        <v>5236</v>
      </c>
      <c r="K37" s="7"/>
      <c r="L37" s="7"/>
      <c r="M37" s="7">
        <f>616/2.2*2.2</f>
        <v>616</v>
      </c>
      <c r="N37" s="7"/>
      <c r="O37" s="7"/>
      <c r="P37" s="7"/>
      <c r="Q37" s="7"/>
      <c r="R37" s="7">
        <f>1870/2.2*2.2</f>
        <v>1870</v>
      </c>
      <c r="S37" s="7"/>
      <c r="T37" s="7"/>
      <c r="U37" s="7"/>
      <c r="V37" s="7"/>
      <c r="W37" s="46" t="s">
        <v>177</v>
      </c>
    </row>
    <row r="38" spans="1:23" s="2" customFormat="1" ht="21" customHeight="1" x14ac:dyDescent="0.2">
      <c r="A38" s="14" t="s">
        <v>59</v>
      </c>
      <c r="B38" s="11">
        <f>44/2.2*2.2</f>
        <v>44</v>
      </c>
      <c r="C38" s="11"/>
      <c r="D38" s="20" t="s">
        <v>141</v>
      </c>
      <c r="E38" s="20" t="s">
        <v>146</v>
      </c>
      <c r="F38" s="11"/>
      <c r="G38" s="20" t="s">
        <v>155</v>
      </c>
      <c r="H38" s="20" t="s">
        <v>161</v>
      </c>
      <c r="I38" s="20" t="s">
        <v>166</v>
      </c>
      <c r="J38" s="11">
        <f>1562/2.2*2.2</f>
        <v>1561.9999999999998</v>
      </c>
      <c r="K38" s="11"/>
      <c r="L38" s="11">
        <f>154/2.2*2.2</f>
        <v>154</v>
      </c>
      <c r="M38" s="11">
        <f>198/2.2*2.2</f>
        <v>197.99999999999997</v>
      </c>
      <c r="N38" s="11">
        <f>220/2.2*2.2</f>
        <v>220</v>
      </c>
      <c r="O38" s="11"/>
      <c r="P38" s="11"/>
      <c r="Q38" s="20" t="s">
        <v>172</v>
      </c>
      <c r="R38" s="11"/>
      <c r="S38" s="11"/>
      <c r="T38" s="20">
        <f>154/2.2*2.2</f>
        <v>154</v>
      </c>
      <c r="U38" s="11"/>
      <c r="V38" s="21"/>
      <c r="W38" s="43" t="s">
        <v>178</v>
      </c>
    </row>
    <row r="39" spans="1:23" s="2" customFormat="1" ht="21" customHeight="1" x14ac:dyDescent="0.2">
      <c r="A39" s="13" t="s">
        <v>60</v>
      </c>
      <c r="B39" s="7">
        <f>297/2.2*2.2</f>
        <v>297</v>
      </c>
      <c r="C39" s="7">
        <f>726/2.2*2.2</f>
        <v>726.00000000000011</v>
      </c>
      <c r="D39" s="7">
        <f>1166/2.2*2.2</f>
        <v>1166</v>
      </c>
      <c r="E39" s="7"/>
      <c r="F39" s="7">
        <f>2618/2.2*2.2</f>
        <v>2618</v>
      </c>
      <c r="G39" s="7">
        <f>3872/2.2*2.2</f>
        <v>3872</v>
      </c>
      <c r="H39" s="7">
        <f>5236/2.2*2.2</f>
        <v>5236</v>
      </c>
      <c r="I39" s="7">
        <f>6776/2.2*2.2</f>
        <v>6776</v>
      </c>
      <c r="J39" s="16">
        <f>10472/2.2*2.2</f>
        <v>10472</v>
      </c>
      <c r="K39" s="7"/>
      <c r="L39" s="7"/>
      <c r="M39" s="7">
        <f>1210/2.2*2.2</f>
        <v>1210</v>
      </c>
      <c r="N39" s="7"/>
      <c r="O39" s="7"/>
      <c r="P39" s="7"/>
      <c r="Q39" s="7"/>
      <c r="R39" s="7"/>
      <c r="S39" s="7"/>
      <c r="T39" s="7"/>
      <c r="U39" s="7"/>
      <c r="V39" s="7"/>
      <c r="W39" s="7" t="s">
        <v>177</v>
      </c>
    </row>
    <row r="40" spans="1:23" s="2" customFormat="1" ht="21" customHeight="1" x14ac:dyDescent="0.2">
      <c r="A40" s="14" t="s">
        <v>61</v>
      </c>
      <c r="B40" s="11">
        <f>165/2.2*2.2</f>
        <v>165</v>
      </c>
      <c r="C40" s="11">
        <f>407/2.2*2.2</f>
        <v>406.99999999999994</v>
      </c>
      <c r="D40" s="11">
        <f>649/2.2*2.2</f>
        <v>649</v>
      </c>
      <c r="E40" s="11"/>
      <c r="F40" s="11">
        <f>1474/2.2*2.2</f>
        <v>1474.0000000000002</v>
      </c>
      <c r="G40" s="11">
        <f>2156/2.2*2.2</f>
        <v>2156</v>
      </c>
      <c r="H40" s="11">
        <f>2926/2.2*2.2</f>
        <v>2926.0000000000005</v>
      </c>
      <c r="I40" s="11">
        <f>3784/2.2*2.2</f>
        <v>3784</v>
      </c>
      <c r="J40" s="11">
        <f>5830/2.2*2.2</f>
        <v>5830.0000000000009</v>
      </c>
      <c r="K40" s="11">
        <f>6996/2.2*2.2</f>
        <v>6996</v>
      </c>
      <c r="L40" s="11">
        <f>550/2.2*2.2</f>
        <v>550</v>
      </c>
      <c r="M40" s="11">
        <f>682/2.2*2.2</f>
        <v>682</v>
      </c>
      <c r="N40" s="11">
        <f>814/2.2*2.2</f>
        <v>813.99999999999989</v>
      </c>
      <c r="O40" s="11">
        <f>880/2.2*2.2</f>
        <v>880</v>
      </c>
      <c r="P40" s="11">
        <f>1078/2.2*2.2</f>
        <v>1078</v>
      </c>
      <c r="Q40" s="11">
        <f>990/2.2*2.2</f>
        <v>990</v>
      </c>
      <c r="R40" s="11">
        <f>1738/2.2*2.2</f>
        <v>1738</v>
      </c>
      <c r="S40" s="11">
        <f>2706/2.2*2.2</f>
        <v>2706</v>
      </c>
      <c r="T40" s="11">
        <f>990/2.2*2.2</f>
        <v>990</v>
      </c>
      <c r="U40" s="11">
        <f>1738/2.2*2.2</f>
        <v>1738</v>
      </c>
      <c r="V40" s="11">
        <f>2706/2.2*2.2</f>
        <v>2706</v>
      </c>
      <c r="W40" s="45" t="s">
        <v>177</v>
      </c>
    </row>
    <row r="41" spans="1:23" s="2" customFormat="1" ht="21" customHeight="1" x14ac:dyDescent="0.2">
      <c r="A41" s="15" t="s">
        <v>62</v>
      </c>
      <c r="B41" s="7">
        <f>154/2.2*2.2</f>
        <v>154</v>
      </c>
      <c r="C41" s="7">
        <f>363/2.2*2.2</f>
        <v>363.00000000000006</v>
      </c>
      <c r="D41" s="7">
        <f>583/2.2*2.2</f>
        <v>583</v>
      </c>
      <c r="E41" s="7"/>
      <c r="F41" s="7">
        <f>1320/2.2*2.2</f>
        <v>1320</v>
      </c>
      <c r="G41" s="7">
        <f>1936/2.2*2.2</f>
        <v>1936</v>
      </c>
      <c r="H41" s="7">
        <f>2618/2.2*2.2</f>
        <v>2618</v>
      </c>
      <c r="I41" s="7">
        <f>3388/2.2*2.2</f>
        <v>3388</v>
      </c>
      <c r="J41" s="7">
        <f>5236/2.2*2.2</f>
        <v>5236</v>
      </c>
      <c r="K41" s="7"/>
      <c r="L41" s="7">
        <f>484/2.2*2.2</f>
        <v>484</v>
      </c>
      <c r="M41" s="7">
        <f>616/2.2*2.2</f>
        <v>616</v>
      </c>
      <c r="N41" s="7">
        <f>726/2.2*2.2</f>
        <v>726.00000000000011</v>
      </c>
      <c r="O41" s="7"/>
      <c r="P41" s="7"/>
      <c r="Q41" s="7"/>
      <c r="R41" s="7"/>
      <c r="S41" s="7"/>
      <c r="T41" s="7"/>
      <c r="U41" s="7"/>
      <c r="V41" s="7"/>
      <c r="W41" s="7" t="s">
        <v>177</v>
      </c>
    </row>
    <row r="42" spans="1:23" s="2" customFormat="1" ht="21" customHeight="1" x14ac:dyDescent="0.2">
      <c r="A42" s="14" t="s">
        <v>63</v>
      </c>
      <c r="B42" s="11">
        <f>165/2.2*2.2</f>
        <v>165</v>
      </c>
      <c r="C42" s="11">
        <f>407/2.2*2.2</f>
        <v>406.99999999999994</v>
      </c>
      <c r="D42" s="11">
        <f>649/2.2*2.2</f>
        <v>649</v>
      </c>
      <c r="E42" s="11">
        <f>946/2.2*2.2</f>
        <v>946</v>
      </c>
      <c r="F42" s="11">
        <f>1474/2.2*2.2</f>
        <v>1474.0000000000002</v>
      </c>
      <c r="G42" s="11">
        <f>2156/2.2*2.2</f>
        <v>2156</v>
      </c>
      <c r="H42" s="11">
        <f>2926/2.2*2.2</f>
        <v>2926.0000000000005</v>
      </c>
      <c r="I42" s="11">
        <f>3784/2.2*2.2</f>
        <v>3784</v>
      </c>
      <c r="J42" s="11">
        <f>5830/2.2*2.2</f>
        <v>5830.0000000000009</v>
      </c>
      <c r="K42" s="11"/>
      <c r="L42" s="11"/>
      <c r="M42" s="11">
        <f>682/2.2*2.2</f>
        <v>682</v>
      </c>
      <c r="N42" s="11"/>
      <c r="O42" s="11"/>
      <c r="P42" s="11"/>
      <c r="Q42" s="11"/>
      <c r="R42" s="11">
        <f>1738/2.2*2.2</f>
        <v>1738</v>
      </c>
      <c r="S42" s="11"/>
      <c r="T42" s="11"/>
      <c r="U42" s="11">
        <f>1738/2.2*2.2</f>
        <v>1738</v>
      </c>
      <c r="V42" s="11"/>
      <c r="W42" s="45" t="s">
        <v>177</v>
      </c>
    </row>
    <row r="43" spans="1:23" s="2" customFormat="1" ht="21" customHeight="1" x14ac:dyDescent="0.2">
      <c r="A43" s="15" t="s">
        <v>64</v>
      </c>
      <c r="B43" s="7">
        <f>165/2.2*2.2</f>
        <v>165</v>
      </c>
      <c r="C43" s="7">
        <f>407/2.2*2.2</f>
        <v>406.99999999999994</v>
      </c>
      <c r="D43" s="7">
        <f>649/2.2*2.2</f>
        <v>649</v>
      </c>
      <c r="E43" s="7"/>
      <c r="F43" s="7">
        <f>1474/2.2*2.2</f>
        <v>1474.0000000000002</v>
      </c>
      <c r="G43" s="7">
        <f>2156/2.2*2.2</f>
        <v>2156</v>
      </c>
      <c r="H43" s="7">
        <f>2926/2.2*2.2</f>
        <v>2926.0000000000005</v>
      </c>
      <c r="I43" s="7">
        <f>3784/2.2*2.2</f>
        <v>3784</v>
      </c>
      <c r="J43" s="7">
        <f>5830/2.2*2.2</f>
        <v>5830.0000000000009</v>
      </c>
      <c r="K43" s="7">
        <f>6996/2.2*2.2</f>
        <v>6996</v>
      </c>
      <c r="L43" s="7">
        <f>550/2.2*2.2</f>
        <v>550</v>
      </c>
      <c r="M43" s="7">
        <f>682/2.2*2.2</f>
        <v>682</v>
      </c>
      <c r="N43" s="7">
        <f>814/2.2*2.2</f>
        <v>813.99999999999989</v>
      </c>
      <c r="O43" s="7">
        <f>880/2.2*2.2</f>
        <v>880</v>
      </c>
      <c r="P43" s="7">
        <f>1078/2.2*2.2</f>
        <v>1078</v>
      </c>
      <c r="Q43" s="7">
        <f>990/2.2*2.2</f>
        <v>990</v>
      </c>
      <c r="R43" s="7">
        <f>1738/2.2*2.2</f>
        <v>1738</v>
      </c>
      <c r="S43" s="7">
        <f>2706/2.2*2.2</f>
        <v>2706</v>
      </c>
      <c r="T43" s="7">
        <f>990/2.2*2.2</f>
        <v>990</v>
      </c>
      <c r="U43" s="7">
        <f>1738/2.2*2.2</f>
        <v>1738</v>
      </c>
      <c r="V43" s="7">
        <f>2706/2.2*2.2</f>
        <v>2706</v>
      </c>
      <c r="W43" s="7" t="s">
        <v>177</v>
      </c>
    </row>
    <row r="44" spans="1:23" s="2" customFormat="1" ht="21" customHeight="1" x14ac:dyDescent="0.2">
      <c r="A44" s="14" t="s">
        <v>65</v>
      </c>
      <c r="B44" s="11">
        <f>297/2.2*2.2</f>
        <v>297</v>
      </c>
      <c r="C44" s="11">
        <f>748/2.2*2.2</f>
        <v>748.00000000000011</v>
      </c>
      <c r="D44" s="11">
        <f>1188/2.2*2.2</f>
        <v>1188</v>
      </c>
      <c r="E44" s="11"/>
      <c r="F44" s="11">
        <f>2684/2.2*2.2</f>
        <v>2684</v>
      </c>
      <c r="G44" s="11">
        <f>3960/2.2*2.2</f>
        <v>3960</v>
      </c>
      <c r="H44" s="11">
        <f>5346/2.2*2.2</f>
        <v>5346</v>
      </c>
      <c r="I44" s="11">
        <f>6930/2.2*2.2</f>
        <v>6930</v>
      </c>
      <c r="J44" s="12">
        <f>10692/2.2*2.2</f>
        <v>10692</v>
      </c>
      <c r="K44" s="11"/>
      <c r="L44" s="11"/>
      <c r="M44" s="11">
        <f>1254/2.2*2.2</f>
        <v>1254</v>
      </c>
      <c r="N44" s="11"/>
      <c r="O44" s="11"/>
      <c r="P44" s="11"/>
      <c r="Q44" s="11"/>
      <c r="R44" s="11"/>
      <c r="S44" s="11"/>
      <c r="T44" s="11"/>
      <c r="U44" s="11"/>
      <c r="V44" s="11"/>
      <c r="W44" s="45" t="s">
        <v>177</v>
      </c>
    </row>
    <row r="45" spans="1:23" s="2" customFormat="1" ht="21" customHeight="1" x14ac:dyDescent="0.2">
      <c r="A45" s="15" t="s">
        <v>66</v>
      </c>
      <c r="B45" s="7">
        <f>451/2.2*2.2</f>
        <v>451</v>
      </c>
      <c r="C45" s="7">
        <f>1122/2.2*2.2</f>
        <v>1122</v>
      </c>
      <c r="D45" s="7">
        <f>1804/2.2*2.2</f>
        <v>1804</v>
      </c>
      <c r="E45" s="7"/>
      <c r="F45" s="7">
        <f>4048/2.2*2.2</f>
        <v>4048</v>
      </c>
      <c r="G45" s="7">
        <f>5984/2.2*2.2</f>
        <v>5984.0000000000009</v>
      </c>
      <c r="H45" s="7">
        <f>8096/2.2*2.2</f>
        <v>8096</v>
      </c>
      <c r="I45" s="8">
        <f>10472/2.2*2.2</f>
        <v>10472</v>
      </c>
      <c r="J45" s="16">
        <f>16170/2.2*2.2</f>
        <v>16170</v>
      </c>
      <c r="K45" s="7"/>
      <c r="L45" s="7"/>
      <c r="M45" s="7">
        <f>1870/2.2*2.2</f>
        <v>1870</v>
      </c>
      <c r="N45" s="7"/>
      <c r="O45" s="7"/>
      <c r="P45" s="7"/>
      <c r="Q45" s="7"/>
      <c r="R45" s="7"/>
      <c r="S45" s="7"/>
      <c r="T45" s="7"/>
      <c r="U45" s="7"/>
      <c r="V45" s="7"/>
      <c r="W45" s="7" t="s">
        <v>177</v>
      </c>
    </row>
    <row r="46" spans="1:23" s="2" customFormat="1" ht="21" customHeight="1" x14ac:dyDescent="0.2">
      <c r="A46" s="14" t="s">
        <v>67</v>
      </c>
      <c r="B46" s="11">
        <f>49/2.2*2.25</f>
        <v>50.11363636363636</v>
      </c>
      <c r="C46" s="11">
        <f>1221/2.2*2.2</f>
        <v>1221</v>
      </c>
      <c r="D46" s="11">
        <f>1958/2.2*2.2</f>
        <v>1958</v>
      </c>
      <c r="E46" s="11"/>
      <c r="F46" s="11">
        <f>4400/2.2*2.2</f>
        <v>4400</v>
      </c>
      <c r="G46" s="11">
        <f>6512/2.2*2.2</f>
        <v>6511.9999999999991</v>
      </c>
      <c r="H46" s="11">
        <f>8800/2.2*2.2</f>
        <v>8800</v>
      </c>
      <c r="I46" s="20">
        <f>11396/2.2*2.2</f>
        <v>11396.000000000002</v>
      </c>
      <c r="J46" s="12">
        <f>17600/2.2*2.2</f>
        <v>17600</v>
      </c>
      <c r="K46" s="11"/>
      <c r="L46" s="11"/>
      <c r="M46" s="11">
        <f>2046/2.2*2.2</f>
        <v>2046</v>
      </c>
      <c r="N46" s="11"/>
      <c r="O46" s="11"/>
      <c r="P46" s="11"/>
      <c r="Q46" s="11"/>
      <c r="R46" s="11"/>
      <c r="S46" s="11"/>
      <c r="T46" s="11"/>
      <c r="U46" s="11"/>
      <c r="V46" s="11"/>
      <c r="W46" s="45" t="s">
        <v>177</v>
      </c>
    </row>
    <row r="47" spans="1:23" s="2" customFormat="1" ht="21" customHeight="1" x14ac:dyDescent="0.2">
      <c r="A47" s="13" t="s">
        <v>68</v>
      </c>
      <c r="B47" s="7">
        <f>308/2.2*2.2</f>
        <v>308</v>
      </c>
      <c r="C47" s="7">
        <f>759/2.2*2.2</f>
        <v>759.00000000000011</v>
      </c>
      <c r="D47" s="7">
        <f>1221/2.2*2.2</f>
        <v>1221</v>
      </c>
      <c r="E47" s="7"/>
      <c r="F47" s="7">
        <f>2750/2.2*2.2</f>
        <v>2750</v>
      </c>
      <c r="G47" s="7">
        <f>4048/2.2*2.2</f>
        <v>4048</v>
      </c>
      <c r="H47" s="7">
        <f>5478/2.2*2.2</f>
        <v>5478</v>
      </c>
      <c r="I47" s="7">
        <f>7084/2.2*2.2</f>
        <v>7084</v>
      </c>
      <c r="J47" s="16">
        <f>10934/2.2*2.2</f>
        <v>10934</v>
      </c>
      <c r="K47" s="7"/>
      <c r="L47" s="7"/>
      <c r="M47" s="7">
        <f>1276/2.2*2.2</f>
        <v>1276</v>
      </c>
      <c r="N47" s="7"/>
      <c r="O47" s="7"/>
      <c r="P47" s="7"/>
      <c r="Q47" s="7"/>
      <c r="R47" s="7"/>
      <c r="S47" s="7"/>
      <c r="T47" s="7"/>
      <c r="U47" s="7"/>
      <c r="V47" s="7"/>
      <c r="W47" s="7" t="s">
        <v>177</v>
      </c>
    </row>
    <row r="48" spans="1:23" s="2" customFormat="1" ht="21" customHeight="1" x14ac:dyDescent="0.2">
      <c r="A48" s="19" t="s">
        <v>69</v>
      </c>
      <c r="B48" s="11">
        <f>352/2.2*2.2</f>
        <v>352</v>
      </c>
      <c r="C48" s="11">
        <f>858/2.2*2.2</f>
        <v>858</v>
      </c>
      <c r="D48" s="11">
        <f>1375/2.2*2.2</f>
        <v>1375</v>
      </c>
      <c r="E48" s="11"/>
      <c r="F48" s="11">
        <f>3102/2.2*2.2</f>
        <v>3101.9999999999995</v>
      </c>
      <c r="G48" s="11">
        <f>4576/2.2*2.2</f>
        <v>4576</v>
      </c>
      <c r="H48" s="11">
        <f>6182/2.2*2.2</f>
        <v>6182.0000000000009</v>
      </c>
      <c r="I48" s="11">
        <f>8008/2.2*2.2</f>
        <v>8008</v>
      </c>
      <c r="J48" s="12">
        <f>12364/2.2*2.2</f>
        <v>12364.000000000002</v>
      </c>
      <c r="K48" s="11"/>
      <c r="L48" s="11"/>
      <c r="M48" s="11">
        <f>1430/2.2*2.2</f>
        <v>1430.0000000000002</v>
      </c>
      <c r="N48" s="11"/>
      <c r="O48" s="11"/>
      <c r="P48" s="11"/>
      <c r="Q48" s="11"/>
      <c r="R48" s="11"/>
      <c r="S48" s="11"/>
      <c r="T48" s="11"/>
      <c r="U48" s="11"/>
      <c r="V48" s="11"/>
      <c r="W48" s="45" t="s">
        <v>177</v>
      </c>
    </row>
    <row r="49" spans="1:23" s="2" customFormat="1" ht="21" customHeight="1" x14ac:dyDescent="0.2">
      <c r="A49" s="13" t="s">
        <v>70</v>
      </c>
      <c r="B49" s="7">
        <f>77/2.2*2.2</f>
        <v>77</v>
      </c>
      <c r="C49" s="7"/>
      <c r="D49" s="8" t="s">
        <v>142</v>
      </c>
      <c r="E49" s="7"/>
      <c r="F49" s="8" t="s">
        <v>149</v>
      </c>
      <c r="G49" s="8" t="s">
        <v>124</v>
      </c>
      <c r="H49" s="8" t="s">
        <v>162</v>
      </c>
      <c r="I49" s="8" t="s">
        <v>167</v>
      </c>
      <c r="J49" s="7">
        <f>2750/2.2*2.2</f>
        <v>2750</v>
      </c>
      <c r="K49" s="7"/>
      <c r="L49" s="7"/>
      <c r="M49" s="7">
        <f>330/2.2*2.2</f>
        <v>330</v>
      </c>
      <c r="N49" s="7"/>
      <c r="O49" s="7"/>
      <c r="P49" s="7"/>
      <c r="Q49" s="7"/>
      <c r="R49" s="7"/>
      <c r="S49" s="7"/>
      <c r="T49" s="7"/>
      <c r="U49" s="25"/>
      <c r="V49" s="9"/>
      <c r="W49" s="42" t="s">
        <v>180</v>
      </c>
    </row>
    <row r="50" spans="1:23" s="2" customFormat="1" ht="21" customHeight="1" x14ac:dyDescent="0.2">
      <c r="A50" s="26" t="s">
        <v>71</v>
      </c>
      <c r="B50" s="11">
        <f>110/2.2*2.2</f>
        <v>110</v>
      </c>
      <c r="C50" s="27"/>
      <c r="D50" s="28" t="s">
        <v>143</v>
      </c>
      <c r="E50" s="11">
        <f>638/2.2*2.2</f>
        <v>638</v>
      </c>
      <c r="F50" s="28" t="s">
        <v>150</v>
      </c>
      <c r="G50" s="28" t="s">
        <v>156</v>
      </c>
      <c r="H50" s="28" t="s">
        <v>163</v>
      </c>
      <c r="I50" s="28" t="s">
        <v>168</v>
      </c>
      <c r="J50" s="11">
        <f>3938/2.2*2.2</f>
        <v>3938</v>
      </c>
      <c r="K50" s="27"/>
      <c r="L50" s="27"/>
      <c r="M50" s="11">
        <f>462/2.2*2.2</f>
        <v>462</v>
      </c>
      <c r="N50" s="27"/>
      <c r="O50" s="27"/>
      <c r="P50" s="27"/>
      <c r="Q50" s="28" t="s">
        <v>173</v>
      </c>
      <c r="R50" s="27">
        <f>1480/2.2*2.2</f>
        <v>1480</v>
      </c>
      <c r="S50" s="27"/>
      <c r="T50" s="28" t="s">
        <v>174</v>
      </c>
      <c r="U50" s="27"/>
      <c r="V50" s="29"/>
      <c r="W50" s="44" t="s">
        <v>178</v>
      </c>
    </row>
    <row r="51" spans="1:23" s="2" customFormat="1" ht="21" customHeight="1" x14ac:dyDescent="0.2">
      <c r="A51" s="30" t="s">
        <v>1</v>
      </c>
      <c r="B51" s="22" t="s">
        <v>2</v>
      </c>
      <c r="C51" s="22" t="s">
        <v>3</v>
      </c>
      <c r="D51" s="22" t="s">
        <v>4</v>
      </c>
      <c r="E51" s="22" t="s">
        <v>5</v>
      </c>
      <c r="F51" s="22" t="s">
        <v>6</v>
      </c>
      <c r="G51" s="22" t="s">
        <v>7</v>
      </c>
      <c r="H51" s="22" t="s">
        <v>8</v>
      </c>
      <c r="I51" s="22" t="s">
        <v>9</v>
      </c>
      <c r="J51" s="22" t="s">
        <v>10</v>
      </c>
      <c r="K51" s="22" t="s">
        <v>11</v>
      </c>
      <c r="L51" s="22" t="s">
        <v>12</v>
      </c>
      <c r="M51" s="22" t="s">
        <v>13</v>
      </c>
      <c r="N51" s="22" t="s">
        <v>14</v>
      </c>
      <c r="O51" s="22" t="s">
        <v>15</v>
      </c>
      <c r="P51" s="22" t="s">
        <v>16</v>
      </c>
      <c r="Q51" s="22" t="s">
        <v>17</v>
      </c>
      <c r="R51" s="22" t="s">
        <v>18</v>
      </c>
      <c r="S51" s="22" t="s">
        <v>19</v>
      </c>
      <c r="T51" s="22" t="s">
        <v>20</v>
      </c>
      <c r="U51" s="22" t="s">
        <v>21</v>
      </c>
      <c r="V51" s="22" t="s">
        <v>22</v>
      </c>
      <c r="W51" s="22" t="s">
        <v>175</v>
      </c>
    </row>
    <row r="52" spans="1:23" s="2" customFormat="1" ht="21" customHeight="1" x14ac:dyDescent="0.2">
      <c r="A52" s="31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3"/>
      <c r="W52" s="33"/>
    </row>
    <row r="53" spans="1:23" s="2" customFormat="1" ht="21" customHeight="1" x14ac:dyDescent="0.2">
      <c r="A53" s="31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3"/>
      <c r="W53" s="33"/>
    </row>
    <row r="54" spans="1:23" s="2" customFormat="1" ht="21" customHeight="1" x14ac:dyDescent="0.2">
      <c r="A54" s="31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3"/>
      <c r="W54" s="33"/>
    </row>
    <row r="55" spans="1:23" s="2" customFormat="1" ht="21" customHeight="1" x14ac:dyDescent="0.2">
      <c r="A55" s="31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3"/>
      <c r="W55" s="33"/>
    </row>
    <row r="56" spans="1:23" s="2" customFormat="1" ht="21" customHeight="1" x14ac:dyDescent="0.2">
      <c r="A56" s="31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3"/>
      <c r="W56" s="33"/>
    </row>
    <row r="57" spans="1:23" s="2" customFormat="1" ht="21" customHeight="1" x14ac:dyDescent="0.2">
      <c r="A57" s="31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3"/>
      <c r="W57" s="33"/>
    </row>
    <row r="58" spans="1:23" s="2" customFormat="1" ht="27.75" customHeight="1" x14ac:dyDescent="0.2">
      <c r="A58" s="1" t="s">
        <v>0</v>
      </c>
      <c r="G58" s="34" t="s">
        <v>185</v>
      </c>
      <c r="S58" s="49" t="s">
        <v>182</v>
      </c>
      <c r="V58" s="3"/>
      <c r="W58" s="3"/>
    </row>
    <row r="59" spans="1:23" s="2" customFormat="1" ht="24" customHeight="1" x14ac:dyDescent="0.2">
      <c r="A59" s="31"/>
      <c r="B59" s="75"/>
      <c r="C59" s="75"/>
      <c r="D59" s="75"/>
      <c r="E59" s="75"/>
      <c r="F59" s="75"/>
      <c r="G59" s="75"/>
      <c r="H59" s="75"/>
      <c r="I59" s="75"/>
      <c r="J59" s="35"/>
      <c r="K59" s="35"/>
      <c r="L59" s="31"/>
      <c r="M59" s="75"/>
      <c r="N59" s="75"/>
      <c r="O59" s="75"/>
      <c r="P59" s="75"/>
      <c r="Q59" s="75"/>
      <c r="R59" s="75"/>
      <c r="S59" s="75"/>
      <c r="T59" s="75"/>
    </row>
    <row r="60" spans="1:23" s="2" customFormat="1" ht="27" customHeight="1" x14ac:dyDescent="0.2">
      <c r="A60" s="36" t="s">
        <v>72</v>
      </c>
      <c r="B60" s="51" t="s">
        <v>73</v>
      </c>
      <c r="C60" s="51"/>
      <c r="D60" s="51" t="s">
        <v>74</v>
      </c>
      <c r="E60" s="51"/>
      <c r="F60" s="51" t="s">
        <v>75</v>
      </c>
      <c r="G60" s="51"/>
      <c r="H60" s="51" t="s">
        <v>76</v>
      </c>
      <c r="I60" s="52"/>
      <c r="J60" s="76" t="s">
        <v>72</v>
      </c>
      <c r="K60" s="77"/>
      <c r="L60" s="78"/>
      <c r="M60" s="51" t="s">
        <v>73</v>
      </c>
      <c r="N60" s="51"/>
      <c r="O60" s="51" t="s">
        <v>74</v>
      </c>
      <c r="P60" s="51"/>
      <c r="Q60" s="51" t="s">
        <v>75</v>
      </c>
      <c r="R60" s="51"/>
      <c r="S60" s="51" t="s">
        <v>76</v>
      </c>
      <c r="T60" s="51"/>
    </row>
    <row r="61" spans="1:23" s="2" customFormat="1" ht="27" customHeight="1" x14ac:dyDescent="0.2">
      <c r="A61" s="37" t="s">
        <v>77</v>
      </c>
      <c r="B61" s="70">
        <f>5390*2.2</f>
        <v>11858.000000000002</v>
      </c>
      <c r="C61" s="70"/>
      <c r="D61" s="70">
        <f>6440*2.2</f>
        <v>14168.000000000002</v>
      </c>
      <c r="E61" s="70"/>
      <c r="F61" s="70"/>
      <c r="G61" s="70"/>
      <c r="H61" s="70"/>
      <c r="I61" s="71"/>
      <c r="J61" s="72" t="s">
        <v>78</v>
      </c>
      <c r="K61" s="73"/>
      <c r="L61" s="74"/>
      <c r="M61" s="70">
        <f>9360*2.2</f>
        <v>20592</v>
      </c>
      <c r="N61" s="70"/>
      <c r="O61" s="70">
        <f>11200*2.2</f>
        <v>24640.000000000004</v>
      </c>
      <c r="P61" s="70"/>
      <c r="Q61" s="70"/>
      <c r="R61" s="70"/>
      <c r="S61" s="70">
        <f>16900*2.2</f>
        <v>37180</v>
      </c>
      <c r="T61" s="70"/>
    </row>
    <row r="62" spans="1:23" s="2" customFormat="1" ht="27" customHeight="1" x14ac:dyDescent="0.2">
      <c r="A62" s="38" t="s">
        <v>79</v>
      </c>
      <c r="B62" s="65">
        <f>7490*2.2</f>
        <v>16478</v>
      </c>
      <c r="C62" s="65"/>
      <c r="D62" s="65">
        <f>8960*2.2</f>
        <v>19712</v>
      </c>
      <c r="E62" s="65"/>
      <c r="F62" s="65">
        <f>11880*2.2</f>
        <v>26136.000000000004</v>
      </c>
      <c r="G62" s="65"/>
      <c r="H62" s="65"/>
      <c r="I62" s="66"/>
      <c r="J62" s="67" t="s">
        <v>80</v>
      </c>
      <c r="K62" s="68"/>
      <c r="L62" s="69"/>
      <c r="M62" s="65">
        <f>9360*2.2</f>
        <v>20592</v>
      </c>
      <c r="N62" s="65"/>
      <c r="O62" s="65">
        <f>11200*2.2</f>
        <v>24640.000000000004</v>
      </c>
      <c r="P62" s="65"/>
      <c r="Q62" s="65">
        <f>14520*2.2</f>
        <v>31944.000000000004</v>
      </c>
      <c r="R62" s="65"/>
      <c r="S62" s="65"/>
      <c r="T62" s="65"/>
    </row>
    <row r="63" spans="1:23" s="2" customFormat="1" ht="27" customHeight="1" x14ac:dyDescent="0.2">
      <c r="A63" s="37" t="s">
        <v>81</v>
      </c>
      <c r="B63" s="70">
        <f>7490*2.2</f>
        <v>16478</v>
      </c>
      <c r="C63" s="70"/>
      <c r="D63" s="70">
        <f>8960*2.2</f>
        <v>19712</v>
      </c>
      <c r="E63" s="70"/>
      <c r="F63" s="70"/>
      <c r="G63" s="70"/>
      <c r="H63" s="70">
        <f>13830*2.2</f>
        <v>30426.000000000004</v>
      </c>
      <c r="I63" s="71"/>
      <c r="J63" s="72" t="s">
        <v>82</v>
      </c>
      <c r="K63" s="73"/>
      <c r="L63" s="74"/>
      <c r="M63" s="70">
        <f>9600*2.2</f>
        <v>21120</v>
      </c>
      <c r="N63" s="70"/>
      <c r="O63" s="70">
        <f>11480*2.2</f>
        <v>25256.000000000004</v>
      </c>
      <c r="P63" s="70"/>
      <c r="Q63" s="70"/>
      <c r="R63" s="70"/>
      <c r="S63" s="70">
        <f>17670*2.2</f>
        <v>38874</v>
      </c>
      <c r="T63" s="70"/>
    </row>
    <row r="64" spans="1:23" s="2" customFormat="1" ht="27" customHeight="1" x14ac:dyDescent="0.2">
      <c r="A64" s="38" t="s">
        <v>83</v>
      </c>
      <c r="B64" s="65">
        <f>7490*2.2</f>
        <v>16478</v>
      </c>
      <c r="C64" s="65"/>
      <c r="D64" s="65">
        <f>8960*2.2</f>
        <v>19712</v>
      </c>
      <c r="E64" s="65"/>
      <c r="F64" s="65">
        <f>11550*2.2</f>
        <v>25410.000000000004</v>
      </c>
      <c r="G64" s="65"/>
      <c r="H64" s="65"/>
      <c r="I64" s="66"/>
      <c r="J64" s="67" t="s">
        <v>84</v>
      </c>
      <c r="K64" s="68"/>
      <c r="L64" s="69"/>
      <c r="M64" s="65">
        <f>9600*2.2</f>
        <v>21120</v>
      </c>
      <c r="N64" s="65"/>
      <c r="O64" s="65">
        <f>11480*2.2</f>
        <v>25256.000000000004</v>
      </c>
      <c r="P64" s="65"/>
      <c r="Q64" s="65"/>
      <c r="R64" s="65"/>
      <c r="S64" s="65"/>
      <c r="T64" s="65"/>
    </row>
    <row r="65" spans="1:20" s="2" customFormat="1" ht="27" customHeight="1" x14ac:dyDescent="0.2">
      <c r="A65" s="37" t="s">
        <v>85</v>
      </c>
      <c r="B65" s="70">
        <f>7490*2.2</f>
        <v>16478</v>
      </c>
      <c r="C65" s="70"/>
      <c r="D65" s="70">
        <f>8960*2.2</f>
        <v>19712</v>
      </c>
      <c r="E65" s="70"/>
      <c r="F65" s="70">
        <f>11550*2.2</f>
        <v>25410.000000000004</v>
      </c>
      <c r="G65" s="70"/>
      <c r="H65" s="70"/>
      <c r="I65" s="71"/>
      <c r="J65" s="72" t="s">
        <v>86</v>
      </c>
      <c r="K65" s="73"/>
      <c r="L65" s="74"/>
      <c r="M65" s="70">
        <f>9600*2.2</f>
        <v>21120</v>
      </c>
      <c r="N65" s="70"/>
      <c r="O65" s="70">
        <f>11480*2.2</f>
        <v>25256.000000000004</v>
      </c>
      <c r="P65" s="70"/>
      <c r="Q65" s="70"/>
      <c r="R65" s="70"/>
      <c r="S65" s="70"/>
      <c r="T65" s="70"/>
    </row>
    <row r="66" spans="1:20" s="2" customFormat="1" ht="27" customHeight="1" x14ac:dyDescent="0.2">
      <c r="A66" s="38" t="s">
        <v>87</v>
      </c>
      <c r="B66" s="65">
        <f>7490*2.2</f>
        <v>16478</v>
      </c>
      <c r="C66" s="65"/>
      <c r="D66" s="65">
        <f>8960*2.2</f>
        <v>19712</v>
      </c>
      <c r="E66" s="65"/>
      <c r="F66" s="65"/>
      <c r="G66" s="65"/>
      <c r="H66" s="65">
        <f>13440*2.2</f>
        <v>29568.000000000004</v>
      </c>
      <c r="I66" s="66"/>
      <c r="J66" s="67" t="s">
        <v>88</v>
      </c>
      <c r="K66" s="68"/>
      <c r="L66" s="69"/>
      <c r="M66" s="65">
        <f>6560*2.2</f>
        <v>14432.000000000002</v>
      </c>
      <c r="N66" s="65"/>
      <c r="O66" s="65">
        <f>7840*2.2</f>
        <v>17248</v>
      </c>
      <c r="P66" s="65"/>
      <c r="Q66" s="65">
        <f>10230*2.2</f>
        <v>22506</v>
      </c>
      <c r="R66" s="65"/>
      <c r="S66" s="65"/>
      <c r="T66" s="65"/>
    </row>
    <row r="67" spans="1:20" s="2" customFormat="1" ht="27" customHeight="1" x14ac:dyDescent="0.2">
      <c r="A67" s="37" t="s">
        <v>89</v>
      </c>
      <c r="B67" s="70">
        <f>11000*2.2</f>
        <v>24200.000000000004</v>
      </c>
      <c r="C67" s="70"/>
      <c r="D67" s="70">
        <f>13160*2.2</f>
        <v>28952.000000000004</v>
      </c>
      <c r="E67" s="70"/>
      <c r="F67" s="70"/>
      <c r="G67" s="70"/>
      <c r="H67" s="70"/>
      <c r="I67" s="71"/>
      <c r="J67" s="72" t="s">
        <v>90</v>
      </c>
      <c r="K67" s="73"/>
      <c r="L67" s="74"/>
      <c r="M67" s="70">
        <f>6560*2.2</f>
        <v>14432.000000000002</v>
      </c>
      <c r="N67" s="70"/>
      <c r="O67" s="70">
        <f>7840*2.2</f>
        <v>17248</v>
      </c>
      <c r="P67" s="70"/>
      <c r="Q67" s="70">
        <f>10230*2.2</f>
        <v>22506</v>
      </c>
      <c r="R67" s="70"/>
      <c r="S67" s="70"/>
      <c r="T67" s="70"/>
    </row>
    <row r="68" spans="1:20" s="2" customFormat="1" ht="27" customHeight="1" x14ac:dyDescent="0.2">
      <c r="A68" s="38" t="s">
        <v>91</v>
      </c>
      <c r="B68" s="65">
        <f>11000*2.2</f>
        <v>24200.000000000004</v>
      </c>
      <c r="C68" s="65"/>
      <c r="D68" s="65">
        <f>13160*2.2</f>
        <v>28952.000000000004</v>
      </c>
      <c r="E68" s="65"/>
      <c r="F68" s="65"/>
      <c r="G68" s="65"/>
      <c r="H68" s="65"/>
      <c r="I68" s="66"/>
      <c r="J68" s="67" t="s">
        <v>92</v>
      </c>
      <c r="K68" s="68"/>
      <c r="L68" s="69"/>
      <c r="M68" s="65">
        <f>6560*2.2</f>
        <v>14432.000000000002</v>
      </c>
      <c r="N68" s="65"/>
      <c r="O68" s="65">
        <f>7840*2.2</f>
        <v>17248</v>
      </c>
      <c r="P68" s="65"/>
      <c r="Q68" s="65"/>
      <c r="R68" s="65"/>
      <c r="S68" s="65">
        <f>11910*2.2</f>
        <v>26202.000000000004</v>
      </c>
      <c r="T68" s="65"/>
    </row>
    <row r="69" spans="1:20" s="2" customFormat="1" ht="27" customHeight="1" x14ac:dyDescent="0.2">
      <c r="A69" s="37" t="s">
        <v>93</v>
      </c>
      <c r="B69" s="70">
        <f>9830*2.2</f>
        <v>21626</v>
      </c>
      <c r="C69" s="70"/>
      <c r="D69" s="70">
        <f>11760*2.2</f>
        <v>25872.000000000004</v>
      </c>
      <c r="E69" s="70"/>
      <c r="F69" s="70"/>
      <c r="G69" s="70"/>
      <c r="H69" s="70"/>
      <c r="I69" s="71"/>
      <c r="J69" s="72" t="s">
        <v>94</v>
      </c>
      <c r="K69" s="73"/>
      <c r="L69" s="74"/>
      <c r="M69" s="70">
        <f>6560*2.2</f>
        <v>14432.000000000002</v>
      </c>
      <c r="N69" s="70"/>
      <c r="O69" s="70">
        <f>7840*2.2</f>
        <v>17248</v>
      </c>
      <c r="P69" s="70"/>
      <c r="Q69" s="70"/>
      <c r="R69" s="70"/>
      <c r="S69" s="70">
        <f>11910*2.2</f>
        <v>26202.000000000004</v>
      </c>
      <c r="T69" s="70"/>
    </row>
    <row r="70" spans="1:20" s="2" customFormat="1" ht="27" customHeight="1" x14ac:dyDescent="0.2">
      <c r="A70" s="38" t="s">
        <v>95</v>
      </c>
      <c r="B70" s="65">
        <f>6560*2.2</f>
        <v>14432.000000000002</v>
      </c>
      <c r="C70" s="65"/>
      <c r="D70" s="65">
        <f>7840*2.2</f>
        <v>17248</v>
      </c>
      <c r="E70" s="65"/>
      <c r="F70" s="65"/>
      <c r="G70" s="65"/>
      <c r="H70" s="65">
        <f>11910*2.2</f>
        <v>26202.000000000004</v>
      </c>
      <c r="I70" s="66"/>
      <c r="J70" s="67" t="s">
        <v>96</v>
      </c>
      <c r="K70" s="68"/>
      <c r="L70" s="69"/>
      <c r="M70" s="65">
        <f>5150*2.2</f>
        <v>11330.000000000002</v>
      </c>
      <c r="N70" s="65"/>
      <c r="O70" s="65">
        <f>6160*2.2</f>
        <v>13552.000000000002</v>
      </c>
      <c r="P70" s="65"/>
      <c r="Q70" s="65">
        <f>8250*2.2</f>
        <v>18150</v>
      </c>
      <c r="R70" s="65"/>
      <c r="S70" s="65"/>
      <c r="T70" s="65"/>
    </row>
    <row r="71" spans="1:20" s="2" customFormat="1" ht="27" customHeight="1" x14ac:dyDescent="0.2">
      <c r="A71" s="37" t="s">
        <v>97</v>
      </c>
      <c r="B71" s="70">
        <f>11000*2.2</f>
        <v>24200.000000000004</v>
      </c>
      <c r="C71" s="70"/>
      <c r="D71" s="70">
        <f>13160*2.2</f>
        <v>28952.000000000004</v>
      </c>
      <c r="E71" s="70"/>
      <c r="F71" s="70"/>
      <c r="G71" s="70"/>
      <c r="H71" s="70"/>
      <c r="I71" s="71"/>
      <c r="J71" s="72" t="s">
        <v>98</v>
      </c>
      <c r="K71" s="73"/>
      <c r="L71" s="74"/>
      <c r="M71" s="70">
        <f>5150*2.2</f>
        <v>11330.000000000002</v>
      </c>
      <c r="N71" s="70"/>
      <c r="O71" s="70">
        <f>6160*2.2</f>
        <v>13552.000000000002</v>
      </c>
      <c r="P71" s="70"/>
      <c r="Q71" s="70"/>
      <c r="R71" s="70"/>
      <c r="S71" s="70">
        <f>9600*2.2</f>
        <v>21120</v>
      </c>
      <c r="T71" s="70"/>
    </row>
    <row r="72" spans="1:20" s="2" customFormat="1" ht="27" customHeight="1" x14ac:dyDescent="0.2">
      <c r="A72" s="38" t="s">
        <v>99</v>
      </c>
      <c r="B72" s="65">
        <f>11700*2.2</f>
        <v>25740.000000000004</v>
      </c>
      <c r="C72" s="65"/>
      <c r="D72" s="65">
        <f>14000*2.2</f>
        <v>30800.000000000004</v>
      </c>
      <c r="E72" s="65"/>
      <c r="F72" s="65"/>
      <c r="G72" s="65"/>
      <c r="H72" s="65"/>
      <c r="I72" s="66"/>
      <c r="J72" s="67" t="s">
        <v>100</v>
      </c>
      <c r="K72" s="68"/>
      <c r="L72" s="69"/>
      <c r="M72" s="65">
        <f>5150*2.2</f>
        <v>11330.000000000002</v>
      </c>
      <c r="N72" s="65"/>
      <c r="O72" s="65">
        <f>6160*2.2</f>
        <v>13552.000000000002</v>
      </c>
      <c r="P72" s="65"/>
      <c r="Q72" s="65">
        <f>8250*2.2</f>
        <v>18150</v>
      </c>
      <c r="R72" s="65"/>
      <c r="S72" s="65"/>
      <c r="T72" s="65"/>
    </row>
    <row r="73" spans="1:20" s="2" customFormat="1" ht="27" customHeight="1" x14ac:dyDescent="0.2">
      <c r="A73" s="37" t="s">
        <v>101</v>
      </c>
      <c r="B73" s="70">
        <f>11700*2.2</f>
        <v>25740.000000000004</v>
      </c>
      <c r="C73" s="70"/>
      <c r="D73" s="70">
        <f>14000*2.2</f>
        <v>30800.000000000004</v>
      </c>
      <c r="E73" s="70"/>
      <c r="F73" s="70">
        <f>18150*2.2</f>
        <v>39930</v>
      </c>
      <c r="G73" s="70"/>
      <c r="H73" s="70"/>
      <c r="I73" s="71"/>
      <c r="J73" s="72" t="s">
        <v>102</v>
      </c>
      <c r="K73" s="73"/>
      <c r="L73" s="74"/>
      <c r="M73" s="70">
        <f>5150*2.2</f>
        <v>11330.000000000002</v>
      </c>
      <c r="N73" s="70"/>
      <c r="O73" s="70">
        <f>6160*2.2</f>
        <v>13552.000000000002</v>
      </c>
      <c r="P73" s="70"/>
      <c r="Q73" s="70"/>
      <c r="R73" s="70"/>
      <c r="S73" s="70">
        <f>9600*2.2</f>
        <v>21120</v>
      </c>
      <c r="T73" s="70"/>
    </row>
    <row r="74" spans="1:20" s="2" customFormat="1" ht="27" customHeight="1" x14ac:dyDescent="0.2">
      <c r="A74" s="38" t="s">
        <v>103</v>
      </c>
      <c r="B74" s="65">
        <f>11700*2.2</f>
        <v>25740.000000000004</v>
      </c>
      <c r="C74" s="65"/>
      <c r="D74" s="65">
        <f>14000*2.2</f>
        <v>30800.000000000004</v>
      </c>
      <c r="E74" s="65"/>
      <c r="F74" s="65"/>
      <c r="G74" s="65"/>
      <c r="H74" s="65"/>
      <c r="I74" s="66"/>
      <c r="J74" s="67" t="s">
        <v>104</v>
      </c>
      <c r="K74" s="68"/>
      <c r="L74" s="69"/>
      <c r="M74" s="65">
        <f>5150*2.2</f>
        <v>11330.000000000002</v>
      </c>
      <c r="N74" s="65"/>
      <c r="O74" s="65">
        <f>6160*2.2</f>
        <v>13552.000000000002</v>
      </c>
      <c r="P74" s="65"/>
      <c r="Q74" s="65"/>
      <c r="R74" s="65"/>
      <c r="S74" s="65"/>
      <c r="T74" s="65"/>
    </row>
    <row r="75" spans="1:20" s="2" customFormat="1" ht="27" customHeight="1" x14ac:dyDescent="0.2">
      <c r="A75" s="39" t="s">
        <v>105</v>
      </c>
      <c r="B75" s="60">
        <f>11000*2.2</f>
        <v>24200.000000000004</v>
      </c>
      <c r="C75" s="60"/>
      <c r="D75" s="60">
        <f>13160*2.2</f>
        <v>28952.000000000004</v>
      </c>
      <c r="E75" s="60"/>
      <c r="F75" s="60"/>
      <c r="G75" s="60"/>
      <c r="H75" s="60"/>
      <c r="I75" s="61"/>
      <c r="J75" s="62" t="s">
        <v>105</v>
      </c>
      <c r="K75" s="63"/>
      <c r="L75" s="64"/>
      <c r="M75" s="60">
        <f>11000*2.2</f>
        <v>24200.000000000004</v>
      </c>
      <c r="N75" s="60"/>
      <c r="O75" s="60">
        <f>13160*2.2</f>
        <v>28952.000000000004</v>
      </c>
      <c r="P75" s="60"/>
      <c r="Q75" s="60"/>
      <c r="R75" s="60"/>
      <c r="S75" s="60"/>
      <c r="T75" s="60"/>
    </row>
    <row r="76" spans="1:20" s="2" customFormat="1" ht="27" customHeight="1" x14ac:dyDescent="0.2">
      <c r="A76" s="40" t="s">
        <v>106</v>
      </c>
      <c r="B76" s="55">
        <f>5620*2.2</f>
        <v>12364.000000000002</v>
      </c>
      <c r="C76" s="55"/>
      <c r="D76" s="55">
        <f>6720*2.2</f>
        <v>14784.000000000002</v>
      </c>
      <c r="E76" s="55"/>
      <c r="F76" s="55">
        <f>8910*2.2</f>
        <v>19602</v>
      </c>
      <c r="G76" s="55"/>
      <c r="H76" s="50"/>
      <c r="I76" s="56"/>
      <c r="J76" s="57" t="s">
        <v>107</v>
      </c>
      <c r="K76" s="58"/>
      <c r="L76" s="59"/>
      <c r="M76" s="50">
        <f>5150*2.2</f>
        <v>11330.000000000002</v>
      </c>
      <c r="N76" s="50"/>
      <c r="O76" s="50">
        <f>6160*2.2</f>
        <v>13552.000000000002</v>
      </c>
      <c r="P76" s="50"/>
      <c r="Q76" s="50">
        <f>7920*2.2</f>
        <v>17424</v>
      </c>
      <c r="R76" s="50"/>
      <c r="S76" s="50"/>
      <c r="T76" s="50"/>
    </row>
    <row r="77" spans="1:20" s="2" customFormat="1" ht="27" customHeight="1" x14ac:dyDescent="0.2">
      <c r="A77" s="39" t="s">
        <v>108</v>
      </c>
      <c r="B77" s="60">
        <f>9360*2.2</f>
        <v>20592</v>
      </c>
      <c r="C77" s="60"/>
      <c r="D77" s="60">
        <f>11200*2.2</f>
        <v>24640.000000000004</v>
      </c>
      <c r="E77" s="60"/>
      <c r="F77" s="60"/>
      <c r="G77" s="60"/>
      <c r="H77" s="60"/>
      <c r="I77" s="61"/>
      <c r="J77" s="62" t="s">
        <v>109</v>
      </c>
      <c r="K77" s="63"/>
      <c r="L77" s="64"/>
      <c r="M77" s="60">
        <f>9360*2.2</f>
        <v>20592</v>
      </c>
      <c r="N77" s="60"/>
      <c r="O77" s="60">
        <f>11200*2.2</f>
        <v>24640.000000000004</v>
      </c>
      <c r="P77" s="60"/>
      <c r="Q77" s="60"/>
      <c r="R77" s="60"/>
      <c r="S77" s="60">
        <f>16900*2.2</f>
        <v>37180</v>
      </c>
      <c r="T77" s="60"/>
    </row>
    <row r="78" spans="1:20" s="2" customFormat="1" ht="27" customHeight="1" x14ac:dyDescent="0.2">
      <c r="A78" s="40" t="s">
        <v>110</v>
      </c>
      <c r="B78" s="55">
        <f>9360*2.2</f>
        <v>20592</v>
      </c>
      <c r="C78" s="55"/>
      <c r="D78" s="55">
        <f>11200*2.2</f>
        <v>24640.000000000004</v>
      </c>
      <c r="E78" s="55"/>
      <c r="F78" s="55">
        <f>14520*2.2</f>
        <v>31944.000000000004</v>
      </c>
      <c r="G78" s="55"/>
      <c r="H78" s="50"/>
      <c r="I78" s="56"/>
      <c r="J78" s="57" t="s">
        <v>111</v>
      </c>
      <c r="K78" s="58"/>
      <c r="L78" s="59"/>
      <c r="M78" s="50">
        <f>9360*2.2</f>
        <v>20592</v>
      </c>
      <c r="N78" s="50"/>
      <c r="O78" s="50">
        <f>11200*2.2</f>
        <v>24640.000000000004</v>
      </c>
      <c r="P78" s="50"/>
      <c r="Q78" s="50">
        <f>14520*2.2</f>
        <v>31944.000000000004</v>
      </c>
      <c r="R78" s="50"/>
      <c r="S78" s="50"/>
      <c r="T78" s="50"/>
    </row>
    <row r="79" spans="1:20" s="2" customFormat="1" ht="27" customHeight="1" x14ac:dyDescent="0.2">
      <c r="A79" s="36" t="s">
        <v>72</v>
      </c>
      <c r="B79" s="51" t="s">
        <v>73</v>
      </c>
      <c r="C79" s="51"/>
      <c r="D79" s="51" t="s">
        <v>74</v>
      </c>
      <c r="E79" s="51"/>
      <c r="F79" s="51" t="s">
        <v>75</v>
      </c>
      <c r="G79" s="51"/>
      <c r="H79" s="51" t="s">
        <v>76</v>
      </c>
      <c r="I79" s="52"/>
      <c r="J79" s="53" t="s">
        <v>72</v>
      </c>
      <c r="K79" s="54"/>
      <c r="L79" s="54"/>
      <c r="M79" s="51" t="s">
        <v>73</v>
      </c>
      <c r="N79" s="51"/>
      <c r="O79" s="51" t="s">
        <v>74</v>
      </c>
      <c r="P79" s="51"/>
      <c r="Q79" s="51" t="s">
        <v>75</v>
      </c>
      <c r="R79" s="51"/>
      <c r="S79" s="51" t="s">
        <v>76</v>
      </c>
      <c r="T79" s="51"/>
    </row>
    <row r="80" spans="1:20" s="2" customFormat="1" ht="24" customHeight="1" x14ac:dyDescent="0.2">
      <c r="A80" s="31"/>
    </row>
    <row r="81" spans="1:1" s="2" customFormat="1" ht="30" customHeight="1" x14ac:dyDescent="0.2">
      <c r="A81" s="41" t="s">
        <v>186</v>
      </c>
    </row>
    <row r="82" spans="1:1" s="2" customFormat="1" ht="30" customHeight="1" x14ac:dyDescent="0.2">
      <c r="A82" s="41" t="s">
        <v>183</v>
      </c>
    </row>
    <row r="83" spans="1:1" ht="34" customHeight="1" x14ac:dyDescent="0.2">
      <c r="A83" s="41" t="s">
        <v>184</v>
      </c>
    </row>
  </sheetData>
  <mergeCells count="182">
    <mergeCell ref="B59:I59"/>
    <mergeCell ref="M59:T59"/>
    <mergeCell ref="B60:C60"/>
    <mergeCell ref="D60:E60"/>
    <mergeCell ref="F60:G60"/>
    <mergeCell ref="H60:I60"/>
    <mergeCell ref="J60:L60"/>
    <mergeCell ref="M60:N60"/>
    <mergeCell ref="O60:P60"/>
    <mergeCell ref="Q60:R60"/>
    <mergeCell ref="S60:T60"/>
    <mergeCell ref="B61:C61"/>
    <mergeCell ref="D61:E61"/>
    <mergeCell ref="F61:G61"/>
    <mergeCell ref="H61:I61"/>
    <mergeCell ref="J61:L61"/>
    <mergeCell ref="M61:N61"/>
    <mergeCell ref="O61:P61"/>
    <mergeCell ref="Q61:R61"/>
    <mergeCell ref="S61:T61"/>
    <mergeCell ref="B63:C63"/>
    <mergeCell ref="D63:E63"/>
    <mergeCell ref="F63:G63"/>
    <mergeCell ref="H63:I63"/>
    <mergeCell ref="J63:L63"/>
    <mergeCell ref="M63:N63"/>
    <mergeCell ref="O63:P63"/>
    <mergeCell ref="Q63:R63"/>
    <mergeCell ref="S63:T63"/>
    <mergeCell ref="B62:C62"/>
    <mergeCell ref="D62:E62"/>
    <mergeCell ref="F62:G62"/>
    <mergeCell ref="H62:I62"/>
    <mergeCell ref="J62:L62"/>
    <mergeCell ref="M62:N62"/>
    <mergeCell ref="O62:P62"/>
    <mergeCell ref="Q62:R62"/>
    <mergeCell ref="S62:T62"/>
    <mergeCell ref="B65:C65"/>
    <mergeCell ref="D65:E65"/>
    <mergeCell ref="F65:G65"/>
    <mergeCell ref="H65:I65"/>
    <mergeCell ref="J65:L65"/>
    <mergeCell ref="M65:N65"/>
    <mergeCell ref="O65:P65"/>
    <mergeCell ref="Q65:R65"/>
    <mergeCell ref="S65:T65"/>
    <mergeCell ref="B64:C64"/>
    <mergeCell ref="D64:E64"/>
    <mergeCell ref="F64:G64"/>
    <mergeCell ref="H64:I64"/>
    <mergeCell ref="J64:L64"/>
    <mergeCell ref="M64:N64"/>
    <mergeCell ref="O64:P64"/>
    <mergeCell ref="Q64:R64"/>
    <mergeCell ref="S64:T64"/>
    <mergeCell ref="B67:C67"/>
    <mergeCell ref="D67:E67"/>
    <mergeCell ref="F67:G67"/>
    <mergeCell ref="H67:I67"/>
    <mergeCell ref="J67:L67"/>
    <mergeCell ref="M67:N67"/>
    <mergeCell ref="O67:P67"/>
    <mergeCell ref="Q67:R67"/>
    <mergeCell ref="S67:T67"/>
    <mergeCell ref="B66:C66"/>
    <mergeCell ref="D66:E66"/>
    <mergeCell ref="F66:G66"/>
    <mergeCell ref="H66:I66"/>
    <mergeCell ref="J66:L66"/>
    <mergeCell ref="M66:N66"/>
    <mergeCell ref="O66:P66"/>
    <mergeCell ref="Q66:R66"/>
    <mergeCell ref="S66:T66"/>
    <mergeCell ref="B69:C69"/>
    <mergeCell ref="D69:E69"/>
    <mergeCell ref="F69:G69"/>
    <mergeCell ref="H69:I69"/>
    <mergeCell ref="J69:L69"/>
    <mergeCell ref="M69:N69"/>
    <mergeCell ref="O69:P69"/>
    <mergeCell ref="Q69:R69"/>
    <mergeCell ref="S69:T69"/>
    <mergeCell ref="B68:C68"/>
    <mergeCell ref="D68:E68"/>
    <mergeCell ref="F68:G68"/>
    <mergeCell ref="H68:I68"/>
    <mergeCell ref="J68:L68"/>
    <mergeCell ref="M68:N68"/>
    <mergeCell ref="O68:P68"/>
    <mergeCell ref="Q68:R68"/>
    <mergeCell ref="S68:T68"/>
    <mergeCell ref="B71:C71"/>
    <mergeCell ref="D71:E71"/>
    <mergeCell ref="F71:G71"/>
    <mergeCell ref="H71:I71"/>
    <mergeCell ref="J71:L71"/>
    <mergeCell ref="M71:N71"/>
    <mergeCell ref="O71:P71"/>
    <mergeCell ref="Q71:R71"/>
    <mergeCell ref="S71:T71"/>
    <mergeCell ref="B70:C70"/>
    <mergeCell ref="D70:E70"/>
    <mergeCell ref="F70:G70"/>
    <mergeCell ref="H70:I70"/>
    <mergeCell ref="J70:L70"/>
    <mergeCell ref="M70:N70"/>
    <mergeCell ref="O70:P70"/>
    <mergeCell ref="Q70:R70"/>
    <mergeCell ref="S70:T70"/>
    <mergeCell ref="B73:C73"/>
    <mergeCell ref="D73:E73"/>
    <mergeCell ref="F73:G73"/>
    <mergeCell ref="H73:I73"/>
    <mergeCell ref="J73:L73"/>
    <mergeCell ref="M73:N73"/>
    <mergeCell ref="O73:P73"/>
    <mergeCell ref="Q73:R73"/>
    <mergeCell ref="S73:T73"/>
    <mergeCell ref="B72:C72"/>
    <mergeCell ref="D72:E72"/>
    <mergeCell ref="F72:G72"/>
    <mergeCell ref="H72:I72"/>
    <mergeCell ref="J72:L72"/>
    <mergeCell ref="M72:N72"/>
    <mergeCell ref="O72:P72"/>
    <mergeCell ref="Q72:R72"/>
    <mergeCell ref="S72:T72"/>
    <mergeCell ref="B75:C75"/>
    <mergeCell ref="D75:E75"/>
    <mergeCell ref="F75:G75"/>
    <mergeCell ref="H75:I75"/>
    <mergeCell ref="J75:L75"/>
    <mergeCell ref="M75:N75"/>
    <mergeCell ref="O75:P75"/>
    <mergeCell ref="Q75:R75"/>
    <mergeCell ref="S75:T75"/>
    <mergeCell ref="B74:C74"/>
    <mergeCell ref="D74:E74"/>
    <mergeCell ref="F74:G74"/>
    <mergeCell ref="H74:I74"/>
    <mergeCell ref="J74:L74"/>
    <mergeCell ref="M74:N74"/>
    <mergeCell ref="O74:P74"/>
    <mergeCell ref="Q74:R74"/>
    <mergeCell ref="S74:T74"/>
    <mergeCell ref="B77:C77"/>
    <mergeCell ref="D77:E77"/>
    <mergeCell ref="F77:G77"/>
    <mergeCell ref="H77:I77"/>
    <mergeCell ref="J77:L77"/>
    <mergeCell ref="M77:N77"/>
    <mergeCell ref="O77:P77"/>
    <mergeCell ref="Q77:R77"/>
    <mergeCell ref="S77:T77"/>
    <mergeCell ref="B76:C76"/>
    <mergeCell ref="D76:E76"/>
    <mergeCell ref="F76:G76"/>
    <mergeCell ref="H76:I76"/>
    <mergeCell ref="J76:L76"/>
    <mergeCell ref="M76:N76"/>
    <mergeCell ref="O76:P76"/>
    <mergeCell ref="Q76:R76"/>
    <mergeCell ref="S76:T76"/>
    <mergeCell ref="S78:T78"/>
    <mergeCell ref="B79:C79"/>
    <mergeCell ref="D79:E79"/>
    <mergeCell ref="F79:G79"/>
    <mergeCell ref="H79:I79"/>
    <mergeCell ref="J79:L79"/>
    <mergeCell ref="M79:N79"/>
    <mergeCell ref="O79:P79"/>
    <mergeCell ref="Q79:R79"/>
    <mergeCell ref="B78:C78"/>
    <mergeCell ref="D78:E78"/>
    <mergeCell ref="F78:G78"/>
    <mergeCell ref="H78:I78"/>
    <mergeCell ref="J78:L78"/>
    <mergeCell ref="M78:N78"/>
    <mergeCell ref="O78:P78"/>
    <mergeCell ref="Q78:R78"/>
    <mergeCell ref="S79:T79"/>
  </mergeCells>
  <phoneticPr fontId="34" type="noConversion"/>
  <dataValidations xWindow="1692" yWindow="257" count="4">
    <dataValidation allowBlank="1" showInputMessage="1" showErrorMessage="1" prompt="Enter Price Per Hour or Incident in this column under this heading" sqref="H17:I17 O79 F60 D60 Q60 O60 F79 D79 Q79 E43 K34:K43 D34 F17 D2 E34:E41 E21:E22 F22:I22 F34:H35 F38:I38 J30:J50 I35 K21:K22 J4:J25 E49:I49 K49 D26:K26 D51:K51 F52:K57 E2:K3" xr:uid="{00000000-0002-0000-0000-000000000000}"/>
    <dataValidation allowBlank="1" showInputMessage="1" showErrorMessage="1" prompt="Enter Description in this column under this heading" sqref="C2:C3 C22 C49 C51 C26 C34:C35 C38" xr:uid="{00000000-0002-0000-0000-000001000000}"/>
    <dataValidation allowBlank="1" showInputMessage="1" showErrorMessage="1" prompt="Enter Service Type in this column under this heading" sqref="B60 M60 B79 M79 B51 B2:B27" xr:uid="{00000000-0002-0000-0000-000002000000}"/>
    <dataValidation allowBlank="1" showInputMessage="1" showErrorMessage="1" prompt="Enter Service ID Number in this column under this heading. Use heading filters to find specific entries" sqref="A39:A43 A60 J60 A79 J79 A2 V52:W57 A21:A22 A51 A34:A37 A26" xr:uid="{00000000-0002-0000-0000-000003000000}"/>
  </dataValidations>
  <pageMargins left="0.5" right="0.5" top="0.75" bottom="0.5" header="0" footer="0"/>
  <pageSetup paperSize="9" orientation="landscape" horizontalDpi="4294967292" verticalDpi="4294967292"/>
  <ignoredErrors>
    <ignoredError sqref="M75 O75 C41:D41" formula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LKC</dc:creator>
  <cp:lastModifiedBy>Joe Carballosa</cp:lastModifiedBy>
  <cp:lastPrinted>2023-01-24T22:25:14Z</cp:lastPrinted>
  <dcterms:created xsi:type="dcterms:W3CDTF">2022-12-22T19:34:50Z</dcterms:created>
  <dcterms:modified xsi:type="dcterms:W3CDTF">2023-01-26T23:30:01Z</dcterms:modified>
</cp:coreProperties>
</file>